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660" windowHeight="1104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E46" i="1"/>
  <c r="F46" i="1" l="1"/>
  <c r="F45" i="1"/>
  <c r="E45" i="1"/>
  <c r="H21" i="1" l="1"/>
  <c r="C12" i="1" l="1"/>
  <c r="K19" i="1" l="1"/>
  <c r="K20" i="1" s="1"/>
  <c r="K22" i="1" s="1"/>
  <c r="L19" i="1"/>
  <c r="L20" i="1" s="1"/>
  <c r="L31" i="1"/>
  <c r="J31" i="1"/>
  <c r="I31" i="1"/>
  <c r="L30" i="1"/>
  <c r="J30" i="1"/>
  <c r="I30" i="1"/>
  <c r="J19" i="1"/>
  <c r="J20" i="1" s="1"/>
  <c r="I19" i="1"/>
  <c r="I20" i="1" s="1"/>
  <c r="I21" i="1" l="1"/>
  <c r="I27" i="1" s="1"/>
  <c r="I35" i="1" s="1"/>
  <c r="L22" i="1"/>
  <c r="L23" i="1" s="1"/>
  <c r="J22" i="1"/>
  <c r="J23" i="1" s="1"/>
  <c r="J27" i="1" s="1"/>
  <c r="J35" i="1" s="1"/>
  <c r="K23" i="1" l="1"/>
  <c r="K27" i="1" s="1"/>
  <c r="K35" i="1" s="1"/>
  <c r="L25" i="1"/>
  <c r="L24" i="1"/>
  <c r="L27" i="1" l="1"/>
  <c r="G21" i="1" l="1"/>
  <c r="H19" i="1"/>
  <c r="F19" i="1"/>
  <c r="E19" i="1"/>
  <c r="E20" i="1" s="1"/>
  <c r="E27" i="1" s="1"/>
  <c r="G17" i="1"/>
  <c r="G19" i="1" s="1"/>
  <c r="G20" i="1" s="1"/>
  <c r="G27" i="1" s="1"/>
  <c r="F20" i="1" l="1"/>
  <c r="F27" i="1" s="1"/>
  <c r="G30" i="1"/>
  <c r="G31" i="1" s="1"/>
  <c r="H30" i="1"/>
  <c r="H31" i="1" s="1"/>
  <c r="H20" i="1"/>
  <c r="H27" i="1" s="1"/>
  <c r="F30" i="1"/>
  <c r="F31" i="1" s="1"/>
  <c r="E30" i="1"/>
  <c r="E31" i="1" s="1"/>
  <c r="L35" i="1" l="1"/>
  <c r="F35" i="1"/>
  <c r="E35" i="1"/>
  <c r="H35" i="1"/>
  <c r="G35" i="1"/>
  <c r="F44" i="1" l="1"/>
  <c r="E44" i="1"/>
  <c r="E43" i="1"/>
  <c r="F41" i="1"/>
  <c r="F43" i="1"/>
  <c r="E41" i="1"/>
  <c r="E42" i="1"/>
  <c r="F42" i="1"/>
</calcChain>
</file>

<file path=xl/sharedStrings.xml><?xml version="1.0" encoding="utf-8"?>
<sst xmlns="http://schemas.openxmlformats.org/spreadsheetml/2006/main" count="67" uniqueCount="51">
  <si>
    <t>Kalkulator porównujący wysokość podatku dochodowego przy zadanym dochodzie</t>
  </si>
  <si>
    <t>dochód</t>
  </si>
  <si>
    <t>składka zdrowotna</t>
  </si>
  <si>
    <t>skala pod.</t>
  </si>
  <si>
    <t>liniówka</t>
  </si>
  <si>
    <t>rok 2021</t>
  </si>
  <si>
    <t>rok 2022</t>
  </si>
  <si>
    <t>opis</t>
  </si>
  <si>
    <t>danina solidarnościowa</t>
  </si>
  <si>
    <t>podstawa</t>
  </si>
  <si>
    <t>kwota</t>
  </si>
  <si>
    <t>łączna kwota obciążeń fiskalnych (podatki + ubezpieczenie zdrowotne</t>
  </si>
  <si>
    <t>L 2021 &lt;=&gt; L 2022</t>
  </si>
  <si>
    <t>L 2021 &lt;=&gt; S 2022</t>
  </si>
  <si>
    <t>S 2021 &lt;=&gt; S 2022</t>
  </si>
  <si>
    <t>warość zmiany obciążeń fiskalnych</t>
  </si>
  <si>
    <t>S 2021 &lt;=&gt; L 2022</t>
  </si>
  <si>
    <t>&lt;= to pole można edytować, reszat wylicza się sama</t>
  </si>
  <si>
    <t>ryczałt</t>
  </si>
  <si>
    <t>przychód</t>
  </si>
  <si>
    <t>Ulga dla klasy średniej</t>
  </si>
  <si>
    <t>Składki na Ub. społeczne</t>
  </si>
  <si>
    <t xml:space="preserve">podstawa opodatkowania  </t>
  </si>
  <si>
    <t>sp. Z o.o. jednoosobowa</t>
  </si>
  <si>
    <t>sp. Komandytowa z gł. Wspólnikiem komplementariuszem</t>
  </si>
  <si>
    <t xml:space="preserve"> </t>
  </si>
  <si>
    <t>stawka ryczałtu w % wybierz z listy</t>
  </si>
  <si>
    <t>wypłacony zysk</t>
  </si>
  <si>
    <t>wypłacony zysk podaj procent</t>
  </si>
  <si>
    <t>łącznie suma obciążeń</t>
  </si>
  <si>
    <t>przy dwóch wspólnikach udział komplementariusza w spółce w %</t>
  </si>
  <si>
    <t>podatek CIT ( dla z.o.o i komandytowej) - wybierz z listy</t>
  </si>
  <si>
    <t xml:space="preserve">oraz składki zdrowotnej dla skali podatkowej i podatku liniowego i ryczałtu, przekształcenia w zo.o. ( jednoosobowa) </t>
  </si>
  <si>
    <t xml:space="preserve">podatek od dywidendy </t>
  </si>
  <si>
    <t>podatek od dywidendy komplementariusz</t>
  </si>
  <si>
    <t>podatek od dywidendy komandytariusz</t>
  </si>
  <si>
    <t>dane pomocnicze</t>
  </si>
  <si>
    <t>&lt;= to pole NIE WOLNO edytować !!!</t>
  </si>
  <si>
    <t>sp. Z o.o. NIE jednoosobowa</t>
  </si>
  <si>
    <t>podatek DOCHODOWY(PRZYCHODOWY)</t>
  </si>
  <si>
    <t xml:space="preserve">oraz  w komandytowa ( 2 osobowa) , dodano też sp. Z o.o. NIE jednoosobowa </t>
  </si>
  <si>
    <t>Zyskujesz</t>
  </si>
  <si>
    <t>Tracisz</t>
  </si>
  <si>
    <t>Ryczałt</t>
  </si>
  <si>
    <t>Porównanie obciążeń fiskalnych
 ( L - oznacza podatek liniowy, S - oznacza skalę podatkową, R - ryczałt ewidencjonowany)</t>
  </si>
  <si>
    <t>sp. Komand.</t>
  </si>
  <si>
    <t xml:space="preserve">Z o.o. = 1 </t>
  </si>
  <si>
    <t xml:space="preserve"> Z o.o. &gt;1</t>
  </si>
  <si>
    <t>L 2022 &lt;=&gt; R 2022</t>
  </si>
  <si>
    <t>S 2022 &lt;=&gt; R 2022</t>
  </si>
  <si>
    <t>S 2022 &lt;=&gt; 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</si>
</sst>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zł-415]_-;\-* #,##0.00\ [$zł-415]_-;_-* &quot;-&quot;??\ [$zł-415]_-;_-@_-"/>
    <numFmt numFmtId="165" formatCode="0.0%"/>
    <numFmt numFmtId="166" formatCode="#,##0.00_ ;\-#,##0.00\ "/>
    <numFmt numFmtId="167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61">
    <xf numFmtId="0" fontId="0" fillId="0" borderId="0" xfId="0"/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164" fontId="1" fillId="0" borderId="1" xfId="0" applyNumberFormat="1" applyFont="1" applyBorder="1" applyProtection="1"/>
    <xf numFmtId="164" fontId="2" fillId="3" borderId="1" xfId="0" applyNumberFormat="1" applyFont="1" applyFill="1" applyBorder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164" fontId="1" fillId="0" borderId="0" xfId="0" applyNumberFormat="1" applyFont="1" applyBorder="1" applyProtection="1"/>
    <xf numFmtId="164" fontId="3" fillId="3" borderId="1" xfId="0" applyNumberFormat="1" applyFont="1" applyFill="1" applyBorder="1" applyAlignment="1">
      <alignment wrapText="1"/>
    </xf>
    <xf numFmtId="166" fontId="0" fillId="0" borderId="1" xfId="0" applyNumberFormat="1" applyBorder="1" applyProtection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7" fontId="0" fillId="0" borderId="1" xfId="0" applyNumberFormat="1" applyBorder="1" applyProtection="1"/>
    <xf numFmtId="0" fontId="4" fillId="4" borderId="1" xfId="1" applyBorder="1" applyAlignment="1" applyProtection="1">
      <alignment horizontal="center" vertical="center" wrapText="1"/>
    </xf>
    <xf numFmtId="164" fontId="0" fillId="0" borderId="1" xfId="0" applyNumberFormat="1" applyBorder="1"/>
    <xf numFmtId="0" fontId="5" fillId="5" borderId="1" xfId="2" applyBorder="1" applyAlignment="1" applyProtection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164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7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4" fillId="4" borderId="2" xfId="1" applyBorder="1" applyAlignment="1" applyProtection="1">
      <alignment horizontal="center" vertical="center" wrapText="1"/>
    </xf>
    <xf numFmtId="0" fontId="4" fillId="4" borderId="3" xfId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/>
    </xf>
  </cellXfs>
  <cellStyles count="3">
    <cellStyle name="Dobre" xfId="1" builtinId="26"/>
    <cellStyle name="Normalny" xfId="0" builtinId="0"/>
    <cellStyle name="Złe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topLeftCell="A26" zoomScaleNormal="100" workbookViewId="0">
      <selection activeCell="H40" sqref="H40"/>
    </sheetView>
  </sheetViews>
  <sheetFormatPr defaultRowHeight="15" x14ac:dyDescent="0.25"/>
  <cols>
    <col min="1" max="1" width="4.28515625" customWidth="1"/>
    <col min="2" max="2" width="23" customWidth="1"/>
    <col min="3" max="3" width="20.42578125" bestFit="1" customWidth="1"/>
    <col min="4" max="4" width="6.85546875" customWidth="1"/>
    <col min="5" max="5" width="15.140625" customWidth="1"/>
    <col min="6" max="6" width="14.28515625" customWidth="1"/>
    <col min="7" max="7" width="14" customWidth="1"/>
    <col min="8" max="8" width="13.85546875" customWidth="1"/>
    <col min="9" max="9" width="15.140625" customWidth="1"/>
    <col min="10" max="10" width="14.5703125" customWidth="1"/>
    <col min="11" max="11" width="13.5703125" customWidth="1"/>
    <col min="12" max="12" width="13.140625" customWidth="1"/>
    <col min="13" max="13" width="14.85546875" customWidth="1"/>
  </cols>
  <sheetData>
    <row r="2" spans="2:13" x14ac:dyDescent="0.25">
      <c r="B2" t="s">
        <v>0</v>
      </c>
    </row>
    <row r="3" spans="2:13" x14ac:dyDescent="0.25">
      <c r="B3" t="s">
        <v>32</v>
      </c>
    </row>
    <row r="4" spans="2:13" x14ac:dyDescent="0.25">
      <c r="B4" t="s">
        <v>40</v>
      </c>
    </row>
    <row r="6" spans="2:13" ht="27.75" customHeight="1" x14ac:dyDescent="0.3">
      <c r="B6" s="9" t="s">
        <v>19</v>
      </c>
      <c r="C6" s="29">
        <v>130000</v>
      </c>
      <c r="D6" s="10" t="s">
        <v>17</v>
      </c>
    </row>
    <row r="7" spans="2:13" ht="34.5" customHeight="1" x14ac:dyDescent="0.25">
      <c r="B7" s="19" t="s">
        <v>26</v>
      </c>
      <c r="C7" s="30">
        <v>8.5</v>
      </c>
      <c r="D7" s="10" t="s">
        <v>17</v>
      </c>
    </row>
    <row r="8" spans="2:13" ht="21.75" customHeight="1" x14ac:dyDescent="0.25">
      <c r="B8" s="5" t="s">
        <v>1</v>
      </c>
      <c r="C8" s="29">
        <v>80000</v>
      </c>
      <c r="D8" s="10" t="s">
        <v>17</v>
      </c>
    </row>
    <row r="9" spans="2:13" ht="31.5" customHeight="1" x14ac:dyDescent="0.25">
      <c r="B9" s="21" t="s">
        <v>28</v>
      </c>
      <c r="C9" s="31">
        <v>100</v>
      </c>
      <c r="D9" s="10" t="s">
        <v>17</v>
      </c>
    </row>
    <row r="10" spans="2:13" ht="49.5" customHeight="1" x14ac:dyDescent="0.25">
      <c r="B10" s="22" t="s">
        <v>31</v>
      </c>
      <c r="C10" s="31">
        <v>19</v>
      </c>
      <c r="D10" s="10" t="s">
        <v>17</v>
      </c>
    </row>
    <row r="11" spans="2:13" ht="57" customHeight="1" x14ac:dyDescent="0.25">
      <c r="B11" s="21" t="s">
        <v>30</v>
      </c>
      <c r="C11" s="31">
        <v>95</v>
      </c>
      <c r="D11" s="10" t="s">
        <v>17</v>
      </c>
    </row>
    <row r="12" spans="2:13" ht="15" customHeight="1" x14ac:dyDescent="0.25">
      <c r="B12" s="5" t="s">
        <v>36</v>
      </c>
      <c r="C12" s="32">
        <f>(((C11/100)*L23)-(C11/100)*L20)</f>
        <v>-2743.6000000000004</v>
      </c>
      <c r="D12" s="10" t="s">
        <v>37</v>
      </c>
    </row>
    <row r="13" spans="2:13" ht="12.75" customHeight="1" x14ac:dyDescent="0.25">
      <c r="B13" s="5"/>
      <c r="C13" s="29"/>
      <c r="D13" s="10"/>
    </row>
    <row r="14" spans="2:13" x14ac:dyDescent="0.25">
      <c r="C14" s="1"/>
    </row>
    <row r="15" spans="2:13" x14ac:dyDescent="0.25">
      <c r="B15" s="34"/>
      <c r="C15" s="34"/>
      <c r="D15" s="34"/>
      <c r="E15" s="33" t="s">
        <v>5</v>
      </c>
      <c r="F15" s="33"/>
      <c r="G15" s="33" t="s">
        <v>6</v>
      </c>
      <c r="H15" s="33"/>
      <c r="I15" s="33"/>
      <c r="J15" s="33"/>
      <c r="K15" s="33"/>
      <c r="L15" s="33"/>
      <c r="M15" s="15"/>
    </row>
    <row r="16" spans="2:13" ht="27.75" customHeight="1" x14ac:dyDescent="0.25">
      <c r="B16" s="33" t="s">
        <v>7</v>
      </c>
      <c r="C16" s="33"/>
      <c r="D16" s="33"/>
      <c r="E16" s="3" t="s">
        <v>3</v>
      </c>
      <c r="F16" s="3" t="s">
        <v>4</v>
      </c>
      <c r="G16" s="3" t="s">
        <v>3</v>
      </c>
      <c r="H16" s="3" t="s">
        <v>4</v>
      </c>
      <c r="I16" s="12" t="s">
        <v>18</v>
      </c>
      <c r="J16" s="14" t="s">
        <v>23</v>
      </c>
      <c r="K16" s="14" t="s">
        <v>38</v>
      </c>
      <c r="L16" s="14" t="s">
        <v>24</v>
      </c>
      <c r="M16" s="15"/>
    </row>
    <row r="17" spans="2:13" x14ac:dyDescent="0.25">
      <c r="B17" s="45" t="s">
        <v>20</v>
      </c>
      <c r="C17" s="46"/>
      <c r="D17" s="47"/>
      <c r="E17" s="11">
        <v>0</v>
      </c>
      <c r="F17" s="11">
        <v>0</v>
      </c>
      <c r="G17" s="11">
        <f>ROUND(IF(AND(C6&gt;=68412, C6&lt;=102588),(C6*6.68/100-4566)/0.17,IF(AND(C6&gt;=102588,C6&lt;=133692),(-C6*7.35/100+9829)/0.17,0)),2)</f>
        <v>1611.76</v>
      </c>
      <c r="H17" s="11">
        <v>0</v>
      </c>
      <c r="I17" s="12">
        <v>0</v>
      </c>
      <c r="J17" s="12">
        <v>0</v>
      </c>
      <c r="K17" s="12">
        <v>0</v>
      </c>
      <c r="L17" s="11">
        <v>0</v>
      </c>
      <c r="M17" s="15"/>
    </row>
    <row r="18" spans="2:13" x14ac:dyDescent="0.25">
      <c r="B18" s="45" t="s">
        <v>21</v>
      </c>
      <c r="C18" s="46"/>
      <c r="D18" s="47"/>
      <c r="E18" s="11">
        <v>11860.44</v>
      </c>
      <c r="F18" s="11">
        <v>11860.44</v>
      </c>
      <c r="G18" s="11">
        <v>13490.76</v>
      </c>
      <c r="H18" s="11">
        <v>13490.76</v>
      </c>
      <c r="I18" s="12">
        <v>13490.76</v>
      </c>
      <c r="J18" s="12">
        <v>13490.76</v>
      </c>
      <c r="K18" s="12">
        <v>0</v>
      </c>
      <c r="L18" s="11">
        <v>26981.52</v>
      </c>
      <c r="M18" s="15"/>
    </row>
    <row r="19" spans="2:13" ht="32.25" customHeight="1" x14ac:dyDescent="0.25">
      <c r="B19" s="36" t="s">
        <v>22</v>
      </c>
      <c r="C19" s="37"/>
      <c r="D19" s="38"/>
      <c r="E19" s="2">
        <f>MAX(ROUND(C8-E18,0),0)</f>
        <v>68140</v>
      </c>
      <c r="F19" s="2">
        <f>MAX(ROUND(C8-F18,0),0)</f>
        <v>68140</v>
      </c>
      <c r="G19" s="2">
        <f>MAX(ROUND(C8-G17-G18,0),0)</f>
        <v>64897</v>
      </c>
      <c r="H19" s="2">
        <f>MAX(ROUND(C8-H18,0),0)</f>
        <v>66509</v>
      </c>
      <c r="I19" s="2">
        <f>MAX(ROUND(C6-I18,0),0)</f>
        <v>116509</v>
      </c>
      <c r="J19" s="2">
        <f>C8</f>
        <v>80000</v>
      </c>
      <c r="K19" s="2">
        <f>C8</f>
        <v>80000</v>
      </c>
      <c r="L19" s="2">
        <f>C8</f>
        <v>80000</v>
      </c>
      <c r="M19" s="16"/>
    </row>
    <row r="20" spans="2:13" x14ac:dyDescent="0.25">
      <c r="B20" s="33" t="s">
        <v>39</v>
      </c>
      <c r="C20" s="33"/>
      <c r="D20" s="33"/>
      <c r="E20" s="2">
        <f>MAX(IF(E19&lt;=85528,(E19*0.17)-525.12,((E19-85528)*0.32)+14539.76),0)</f>
        <v>11058.68</v>
      </c>
      <c r="F20" s="2">
        <f>ROUND(F19*0.19,0)</f>
        <v>12947</v>
      </c>
      <c r="G20" s="2">
        <f>MAX(IF(G19&lt;=120000,G19*0.17-5100,(G19-120000)*0.32+15300),0)</f>
        <v>5932.4900000000016</v>
      </c>
      <c r="H20" s="2">
        <f>H19*0.19</f>
        <v>12636.710000000001</v>
      </c>
      <c r="I20" s="2">
        <f>I19*(C7/100)</f>
        <v>9903.2650000000012</v>
      </c>
      <c r="J20" s="2">
        <f>J19*C10/100</f>
        <v>15200</v>
      </c>
      <c r="K20" s="2">
        <f>K19*C10/100</f>
        <v>15200</v>
      </c>
      <c r="L20" s="2">
        <f>L19*C10/100</f>
        <v>15200</v>
      </c>
      <c r="M20" s="16"/>
    </row>
    <row r="21" spans="2:13" x14ac:dyDescent="0.25">
      <c r="B21" s="33" t="s">
        <v>2</v>
      </c>
      <c r="C21" s="33"/>
      <c r="D21" s="33"/>
      <c r="E21" s="2">
        <v>4581.72</v>
      </c>
      <c r="F21" s="2">
        <v>4581.72</v>
      </c>
      <c r="G21" s="2">
        <f>MAX((C8-G18)*0.09,3250.8,0)</f>
        <v>5985.8316000000004</v>
      </c>
      <c r="H21" s="2">
        <f>MAX((C8-H18)*0.049,3250.8)</f>
        <v>3258.9527600000006</v>
      </c>
      <c r="I21" s="2">
        <f>IF(I19&lt;60000,3743,IF(I19&lt;300000,6237,11227))</f>
        <v>6237</v>
      </c>
      <c r="J21" s="2">
        <v>6237</v>
      </c>
      <c r="K21" s="2">
        <v>0</v>
      </c>
      <c r="L21" s="2">
        <v>12474</v>
      </c>
      <c r="M21" s="16"/>
    </row>
    <row r="22" spans="2:13" x14ac:dyDescent="0.25">
      <c r="B22" s="45" t="s">
        <v>27</v>
      </c>
      <c r="C22" s="48"/>
      <c r="D22" s="49"/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f>(J19-J20)*(C9/100)</f>
        <v>64800</v>
      </c>
      <c r="K22" s="20">
        <f>(K19-K20)*(C9/100)</f>
        <v>64800</v>
      </c>
      <c r="L22" s="20">
        <f>(L19-L20)*(C9/100)</f>
        <v>64800</v>
      </c>
      <c r="M22" s="16"/>
    </row>
    <row r="23" spans="2:13" x14ac:dyDescent="0.25">
      <c r="B23" s="45" t="s">
        <v>33</v>
      </c>
      <c r="C23" s="48"/>
      <c r="D23" s="49"/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f>J22*0.19</f>
        <v>12312</v>
      </c>
      <c r="K23" s="20">
        <f>K22*0.19</f>
        <v>12312</v>
      </c>
      <c r="L23" s="20">
        <f>L22*0.19</f>
        <v>12312</v>
      </c>
      <c r="M23" s="16"/>
    </row>
    <row r="24" spans="2:13" x14ac:dyDescent="0.25">
      <c r="B24" s="50" t="s">
        <v>34</v>
      </c>
      <c r="C24" s="51"/>
      <c r="D24" s="52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3">
        <f>IF(C12&lt;0,0,C12)</f>
        <v>0</v>
      </c>
      <c r="M24" s="16"/>
    </row>
    <row r="25" spans="2:13" x14ac:dyDescent="0.25">
      <c r="B25" s="50" t="s">
        <v>35</v>
      </c>
      <c r="C25" s="51"/>
      <c r="D25" s="52"/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3">
        <f>((100-C11)/100)*L23</f>
        <v>615.6</v>
      </c>
      <c r="M25" s="16"/>
    </row>
    <row r="26" spans="2:13" x14ac:dyDescent="0.25">
      <c r="B26" s="50" t="s">
        <v>25</v>
      </c>
      <c r="C26" s="51"/>
      <c r="D26" s="52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3">
        <v>0</v>
      </c>
      <c r="M26" s="16"/>
    </row>
    <row r="27" spans="2:13" ht="18.75" x14ac:dyDescent="0.3">
      <c r="B27" s="39" t="s">
        <v>29</v>
      </c>
      <c r="C27" s="33"/>
      <c r="D27" s="33"/>
      <c r="E27" s="8">
        <f t="shared" ref="E27:I27" si="0">E20+E21+E23</f>
        <v>15640.400000000001</v>
      </c>
      <c r="F27" s="8">
        <f t="shared" si="0"/>
        <v>17528.72</v>
      </c>
      <c r="G27" s="8">
        <f t="shared" si="0"/>
        <v>11918.321600000003</v>
      </c>
      <c r="H27" s="8">
        <f t="shared" si="0"/>
        <v>15895.662760000001</v>
      </c>
      <c r="I27" s="8">
        <f t="shared" si="0"/>
        <v>16140.265000000001</v>
      </c>
      <c r="J27" s="8">
        <f>J18+J20+J21+J23</f>
        <v>47239.76</v>
      </c>
      <c r="K27" s="8">
        <f>K18+K20+K21+K23</f>
        <v>27512</v>
      </c>
      <c r="L27" s="8">
        <f>L18+L20+L21+L24+L25</f>
        <v>55271.12</v>
      </c>
      <c r="M27" s="16"/>
    </row>
    <row r="28" spans="2:13" x14ac:dyDescent="0.25">
      <c r="B28" s="4"/>
      <c r="C28" s="4"/>
      <c r="D28" s="4"/>
      <c r="E28" s="6"/>
      <c r="F28" s="6"/>
      <c r="G28" s="6"/>
      <c r="H28" s="6"/>
      <c r="I28" s="6"/>
      <c r="J28" s="6"/>
      <c r="K28" s="6"/>
      <c r="L28" s="6"/>
      <c r="M28" s="6"/>
    </row>
    <row r="29" spans="2:13" x14ac:dyDescent="0.25">
      <c r="B29" s="33" t="s">
        <v>8</v>
      </c>
      <c r="C29" s="33"/>
      <c r="D29" s="33"/>
      <c r="E29" s="40" t="s">
        <v>5</v>
      </c>
      <c r="F29" s="42"/>
      <c r="G29" s="40" t="s">
        <v>6</v>
      </c>
      <c r="H29" s="41"/>
      <c r="I29" s="41"/>
      <c r="J29" s="41"/>
      <c r="K29" s="41"/>
      <c r="L29" s="42"/>
      <c r="M29" s="17"/>
    </row>
    <row r="30" spans="2:13" x14ac:dyDescent="0.25">
      <c r="B30" s="33" t="s">
        <v>9</v>
      </c>
      <c r="C30" s="33"/>
      <c r="D30" s="33"/>
      <c r="E30" s="2">
        <f>IF($C$8&lt;=1000000,0,$C$8-1000000)</f>
        <v>0</v>
      </c>
      <c r="F30" s="2">
        <f t="shared" ref="F30:L31" si="1">IF($C$8&lt;=1000000,0,$C$8-1000000)</f>
        <v>0</v>
      </c>
      <c r="G30" s="2">
        <f t="shared" si="1"/>
        <v>0</v>
      </c>
      <c r="H30" s="2">
        <f t="shared" si="1"/>
        <v>0</v>
      </c>
      <c r="I30" s="2">
        <f t="shared" si="1"/>
        <v>0</v>
      </c>
      <c r="J30" s="2">
        <f t="shared" si="1"/>
        <v>0</v>
      </c>
      <c r="K30" s="2"/>
      <c r="L30" s="2">
        <f t="shared" si="1"/>
        <v>0</v>
      </c>
      <c r="M30" s="16"/>
    </row>
    <row r="31" spans="2:13" x14ac:dyDescent="0.25">
      <c r="B31" s="33" t="s">
        <v>10</v>
      </c>
      <c r="C31" s="33"/>
      <c r="D31" s="33"/>
      <c r="E31" s="2">
        <f>ROUND(E30*0.04,0)</f>
        <v>0</v>
      </c>
      <c r="F31" s="2">
        <f t="shared" ref="F31:G31" si="2">ROUND(F30*0.04,0)</f>
        <v>0</v>
      </c>
      <c r="G31" s="2">
        <f t="shared" si="2"/>
        <v>0</v>
      </c>
      <c r="H31" s="2">
        <f t="shared" ref="H31" si="3">ROUND(H30*0.04,0)</f>
        <v>0</v>
      </c>
      <c r="I31" s="2">
        <f t="shared" si="1"/>
        <v>0</v>
      </c>
      <c r="J31" s="2">
        <f t="shared" si="1"/>
        <v>0</v>
      </c>
      <c r="K31" s="2"/>
      <c r="L31" s="2">
        <f t="shared" si="1"/>
        <v>0</v>
      </c>
      <c r="M31" s="16"/>
    </row>
    <row r="32" spans="2:13" x14ac:dyDescent="0.25">
      <c r="B32" s="4"/>
      <c r="C32" s="4"/>
      <c r="D32" s="4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B33" s="34"/>
      <c r="C33" s="34"/>
      <c r="D33" s="34"/>
      <c r="E33" s="35" t="s">
        <v>5</v>
      </c>
      <c r="F33" s="35"/>
      <c r="G33" s="35" t="s">
        <v>6</v>
      </c>
      <c r="H33" s="35"/>
      <c r="I33" s="35"/>
      <c r="J33" s="35"/>
      <c r="K33" s="35"/>
      <c r="L33" s="35"/>
      <c r="M33" s="17"/>
    </row>
    <row r="34" spans="1:13" x14ac:dyDescent="0.25">
      <c r="B34" s="33" t="s">
        <v>7</v>
      </c>
      <c r="C34" s="33"/>
      <c r="D34" s="33"/>
      <c r="E34" s="7" t="s">
        <v>3</v>
      </c>
      <c r="F34" s="7" t="s">
        <v>4</v>
      </c>
      <c r="G34" s="7" t="s">
        <v>3</v>
      </c>
      <c r="H34" s="7" t="s">
        <v>4</v>
      </c>
      <c r="I34" s="13" t="s">
        <v>43</v>
      </c>
      <c r="J34" s="13" t="s">
        <v>46</v>
      </c>
      <c r="K34" s="13" t="s">
        <v>47</v>
      </c>
      <c r="L34" s="7" t="s">
        <v>45</v>
      </c>
      <c r="M34" s="17"/>
    </row>
    <row r="35" spans="1:13" ht="32.25" customHeight="1" x14ac:dyDescent="0.25">
      <c r="B35" s="59" t="s">
        <v>11</v>
      </c>
      <c r="C35" s="59"/>
      <c r="D35" s="59"/>
      <c r="E35" s="8">
        <f>E31+E27</f>
        <v>15640.400000000001</v>
      </c>
      <c r="F35" s="8">
        <f>F31+F27</f>
        <v>17528.72</v>
      </c>
      <c r="G35" s="8">
        <f>G31+G27</f>
        <v>11918.321600000003</v>
      </c>
      <c r="H35" s="8">
        <f>H31+H27</f>
        <v>15895.662760000001</v>
      </c>
      <c r="I35" s="8">
        <f t="shared" ref="I35:K35" si="4">I31+I27</f>
        <v>16140.265000000001</v>
      </c>
      <c r="J35" s="8">
        <f t="shared" si="4"/>
        <v>47239.76</v>
      </c>
      <c r="K35" s="8">
        <f t="shared" si="4"/>
        <v>27512</v>
      </c>
      <c r="L35" s="8">
        <f>L31+L27</f>
        <v>55271.12</v>
      </c>
      <c r="M35" s="18"/>
    </row>
    <row r="36" spans="1:13" x14ac:dyDescent="0.25">
      <c r="B36" s="4"/>
      <c r="C36" s="4"/>
      <c r="D36" s="4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B37" s="4"/>
      <c r="C37" s="4"/>
      <c r="D37" s="4"/>
      <c r="E37" s="6"/>
      <c r="F37" s="6"/>
      <c r="G37" s="6"/>
      <c r="H37" s="6"/>
      <c r="I37" s="6"/>
      <c r="J37" s="6"/>
      <c r="K37" s="6"/>
      <c r="L37" s="6"/>
      <c r="M37" s="6"/>
    </row>
    <row r="38" spans="1:13" ht="13.5" customHeight="1" x14ac:dyDescent="0.25">
      <c r="B38" s="4"/>
      <c r="C38" s="4"/>
      <c r="D38" s="4"/>
      <c r="E38" s="6"/>
      <c r="F38" s="6"/>
      <c r="G38" s="6"/>
      <c r="H38" s="6"/>
      <c r="I38" s="6"/>
      <c r="J38" s="6"/>
      <c r="K38" s="6"/>
      <c r="L38" s="6"/>
      <c r="M38" s="6"/>
    </row>
    <row r="39" spans="1:13" ht="69.75" customHeight="1" x14ac:dyDescent="0.25">
      <c r="B39" s="53" t="s">
        <v>44</v>
      </c>
      <c r="C39" s="54"/>
      <c r="D39" s="55"/>
      <c r="E39" s="43" t="s">
        <v>15</v>
      </c>
      <c r="F39" s="44"/>
      <c r="G39" s="6"/>
      <c r="H39" s="6"/>
      <c r="I39" s="6"/>
      <c r="J39" s="6"/>
      <c r="K39" s="6"/>
      <c r="L39" s="6"/>
      <c r="M39" s="6"/>
    </row>
    <row r="40" spans="1:13" ht="27" customHeight="1" x14ac:dyDescent="0.25">
      <c r="B40" s="56"/>
      <c r="C40" s="57"/>
      <c r="D40" s="58"/>
      <c r="E40" s="24" t="s">
        <v>41</v>
      </c>
      <c r="F40" s="26" t="s">
        <v>42</v>
      </c>
      <c r="G40" s="6"/>
      <c r="H40" s="6"/>
      <c r="I40" s="6"/>
      <c r="J40" s="6"/>
      <c r="K40" s="6"/>
      <c r="L40" s="6"/>
      <c r="M40" s="6"/>
    </row>
    <row r="41" spans="1:13" x14ac:dyDescent="0.25">
      <c r="B41" s="33" t="s">
        <v>12</v>
      </c>
      <c r="C41" s="33"/>
      <c r="D41" s="33"/>
      <c r="E41" s="2">
        <f>MAX(-H35+F35,0)</f>
        <v>1633.0572400000001</v>
      </c>
      <c r="F41" s="2">
        <f>MAX(H35-F35,0)</f>
        <v>0</v>
      </c>
      <c r="G41" s="6"/>
      <c r="H41" s="6"/>
      <c r="I41" s="6"/>
      <c r="J41" s="6"/>
      <c r="K41" s="6"/>
      <c r="L41" s="6"/>
      <c r="M41" s="6"/>
    </row>
    <row r="42" spans="1:13" x14ac:dyDescent="0.25">
      <c r="B42" s="33" t="s">
        <v>13</v>
      </c>
      <c r="C42" s="33"/>
      <c r="D42" s="33"/>
      <c r="E42" s="2">
        <f>MAX(-G35+F35,0)</f>
        <v>5610.3983999999982</v>
      </c>
      <c r="F42" s="2">
        <f>MAX(G35-F35,0)</f>
        <v>0</v>
      </c>
      <c r="G42" s="6"/>
      <c r="H42" s="6"/>
      <c r="I42" s="6"/>
      <c r="J42" s="6"/>
      <c r="K42" s="6"/>
      <c r="L42" s="6"/>
      <c r="M42" s="6"/>
    </row>
    <row r="43" spans="1:13" x14ac:dyDescent="0.25">
      <c r="B43" s="33" t="s">
        <v>16</v>
      </c>
      <c r="C43" s="33"/>
      <c r="D43" s="33"/>
      <c r="E43" s="2">
        <f>MAX(-H35+E35,0)</f>
        <v>0</v>
      </c>
      <c r="F43" s="2">
        <f>MAX(H35-E35,0)</f>
        <v>255.26275999999962</v>
      </c>
      <c r="G43" s="6"/>
      <c r="H43" s="6"/>
      <c r="I43" s="6"/>
      <c r="J43" s="6"/>
      <c r="K43" s="6"/>
      <c r="L43" s="6"/>
      <c r="M43" s="6"/>
    </row>
    <row r="44" spans="1:13" x14ac:dyDescent="0.25">
      <c r="B44" s="33" t="s">
        <v>14</v>
      </c>
      <c r="C44" s="33"/>
      <c r="D44" s="33"/>
      <c r="E44" s="2">
        <f>MAX(-G35+E35,0)</f>
        <v>3722.0783999999985</v>
      </c>
      <c r="F44" s="2">
        <f>MAX(G35-E35,0)</f>
        <v>0</v>
      </c>
      <c r="G44" s="6"/>
      <c r="H44" s="6"/>
      <c r="I44" s="6"/>
      <c r="J44" s="6"/>
      <c r="K44" s="6"/>
      <c r="L44" s="6"/>
      <c r="M44" s="6"/>
    </row>
    <row r="45" spans="1:13" x14ac:dyDescent="0.25">
      <c r="B45" s="33" t="s">
        <v>48</v>
      </c>
      <c r="C45" s="33"/>
      <c r="D45" s="33"/>
      <c r="E45" s="2">
        <f>MAX(-I35+H35,0)</f>
        <v>0</v>
      </c>
      <c r="F45" s="2">
        <f>MAX(I35-H35,0)</f>
        <v>244.60224000000017</v>
      </c>
      <c r="G45" s="6"/>
      <c r="H45" s="6"/>
      <c r="I45" s="6"/>
      <c r="J45" s="6"/>
      <c r="K45" s="6"/>
      <c r="L45" s="6"/>
      <c r="M45" s="6"/>
    </row>
    <row r="46" spans="1:13" x14ac:dyDescent="0.25">
      <c r="B46" s="33" t="s">
        <v>49</v>
      </c>
      <c r="C46" s="33"/>
      <c r="D46" s="33"/>
      <c r="E46" s="2">
        <f>MAX(-I35+G35,0)</f>
        <v>0</v>
      </c>
      <c r="F46" s="25">
        <f>MAX(-G35+I35,0)</f>
        <v>4221.9433999999983</v>
      </c>
    </row>
    <row r="47" spans="1:13" x14ac:dyDescent="0.25">
      <c r="B47" s="60" t="s">
        <v>50</v>
      </c>
      <c r="C47" s="60"/>
      <c r="D47" s="60"/>
      <c r="E47" s="25">
        <f>MAX(-H35+G35,0)</f>
        <v>0</v>
      </c>
      <c r="F47" s="25">
        <f>MAX(H35-G35,0)</f>
        <v>3977.3411599999981</v>
      </c>
    </row>
    <row r="48" spans="1:13" x14ac:dyDescent="0.25">
      <c r="A48" s="27"/>
      <c r="B48" s="27"/>
      <c r="C48" s="27"/>
      <c r="D48" s="27"/>
      <c r="E48" s="27"/>
    </row>
    <row r="49" spans="1:5" x14ac:dyDescent="0.25">
      <c r="A49" s="27"/>
      <c r="B49" s="27"/>
      <c r="C49" s="27"/>
      <c r="D49" s="27"/>
      <c r="E49" s="27"/>
    </row>
    <row r="50" spans="1:5" x14ac:dyDescent="0.25">
      <c r="A50" s="27"/>
      <c r="B50" s="27"/>
      <c r="C50" s="28"/>
      <c r="D50" s="27"/>
      <c r="E50" s="27"/>
    </row>
    <row r="51" spans="1:5" x14ac:dyDescent="0.25">
      <c r="A51" s="27"/>
      <c r="B51" s="27"/>
      <c r="C51" s="28"/>
      <c r="D51" s="27"/>
      <c r="E51" s="27"/>
    </row>
    <row r="52" spans="1:5" x14ac:dyDescent="0.25">
      <c r="A52" s="27"/>
      <c r="B52" s="27"/>
      <c r="C52" s="28"/>
      <c r="D52" s="27"/>
      <c r="E52" s="27"/>
    </row>
    <row r="53" spans="1:5" x14ac:dyDescent="0.25">
      <c r="A53" s="27"/>
      <c r="B53" s="27"/>
      <c r="C53" s="28"/>
      <c r="D53" s="27"/>
      <c r="E53" s="27"/>
    </row>
    <row r="54" spans="1:5" x14ac:dyDescent="0.25">
      <c r="A54" s="27"/>
      <c r="B54" s="27"/>
      <c r="C54" s="28"/>
      <c r="D54" s="27"/>
      <c r="E54" s="27"/>
    </row>
    <row r="55" spans="1:5" x14ac:dyDescent="0.25">
      <c r="A55" s="27"/>
      <c r="B55" s="27"/>
      <c r="C55" s="28"/>
      <c r="D55" s="27"/>
      <c r="E55" s="27"/>
    </row>
    <row r="56" spans="1:5" x14ac:dyDescent="0.25">
      <c r="A56" s="27"/>
      <c r="B56" s="27"/>
      <c r="C56" s="28"/>
      <c r="D56" s="27"/>
      <c r="E56" s="27"/>
    </row>
    <row r="57" spans="1:5" x14ac:dyDescent="0.25">
      <c r="A57" s="27"/>
      <c r="B57" s="27"/>
      <c r="C57" s="28"/>
      <c r="D57" s="27"/>
      <c r="E57" s="27"/>
    </row>
    <row r="58" spans="1:5" x14ac:dyDescent="0.25">
      <c r="A58" s="27"/>
      <c r="B58" s="27"/>
      <c r="C58" s="28"/>
      <c r="D58" s="27"/>
      <c r="E58" s="27"/>
    </row>
    <row r="59" spans="1:5" x14ac:dyDescent="0.25">
      <c r="A59" s="27"/>
      <c r="B59" s="27"/>
      <c r="C59" s="27"/>
      <c r="D59" s="27"/>
      <c r="E59" s="27"/>
    </row>
  </sheetData>
  <mergeCells count="34">
    <mergeCell ref="B47:D47"/>
    <mergeCell ref="E39:F39"/>
    <mergeCell ref="E15:F15"/>
    <mergeCell ref="G15:L15"/>
    <mergeCell ref="B16:D16"/>
    <mergeCell ref="B15:D15"/>
    <mergeCell ref="B17:D17"/>
    <mergeCell ref="B18:D18"/>
    <mergeCell ref="B23:D23"/>
    <mergeCell ref="B22:D22"/>
    <mergeCell ref="B25:D25"/>
    <mergeCell ref="B24:D24"/>
    <mergeCell ref="B39:D40"/>
    <mergeCell ref="B34:D34"/>
    <mergeCell ref="B35:D35"/>
    <mergeCell ref="E29:F29"/>
    <mergeCell ref="B26:D26"/>
    <mergeCell ref="B33:D33"/>
    <mergeCell ref="E33:F33"/>
    <mergeCell ref="G33:L33"/>
    <mergeCell ref="B19:D19"/>
    <mergeCell ref="B20:D20"/>
    <mergeCell ref="B21:D21"/>
    <mergeCell ref="B27:D27"/>
    <mergeCell ref="B29:D29"/>
    <mergeCell ref="B30:D30"/>
    <mergeCell ref="B31:D31"/>
    <mergeCell ref="G29:L29"/>
    <mergeCell ref="B44:D44"/>
    <mergeCell ref="B41:D41"/>
    <mergeCell ref="B42:D42"/>
    <mergeCell ref="B45:D45"/>
    <mergeCell ref="B46:D46"/>
    <mergeCell ref="B43:D43"/>
  </mergeCells>
  <dataValidations count="3">
    <dataValidation allowBlank="1" showInputMessage="1" showErrorMessage="1" prompt="Wybierz z listy" sqref="C50:C58"/>
    <dataValidation type="list" allowBlank="1" showInputMessage="1" showErrorMessage="1" sqref="C7">
      <mc:AlternateContent xmlns:x12ac="http://schemas.microsoft.com/office/spreadsheetml/2011/1/ac" xmlns:mc="http://schemas.openxmlformats.org/markup-compatibility/2006">
        <mc:Choice Requires="x12ac">
          <x12ac:list>2,3,"5,5","8,5",12,"12,5",14,15,17</x12ac:list>
        </mc:Choice>
        <mc:Fallback>
          <formula1>"2,3,5,5,8,5,12,12,5,14,15,17"</formula1>
        </mc:Fallback>
      </mc:AlternateContent>
    </dataValidation>
    <dataValidation type="list" allowBlank="1" showInputMessage="1" showErrorMessage="1" sqref="C10">
      <formula1>"9,19"</formula1>
    </dataValidation>
  </dataValidation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Sebastjan</dc:creator>
  <cp:lastModifiedBy>lta@logotech.com.pl</cp:lastModifiedBy>
  <dcterms:created xsi:type="dcterms:W3CDTF">2021-08-04T11:55:06Z</dcterms:created>
  <dcterms:modified xsi:type="dcterms:W3CDTF">2021-10-14T10:01:59Z</dcterms:modified>
</cp:coreProperties>
</file>