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635" windowHeight="1183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D17" i="1" l="1"/>
  <c r="CD15" i="1"/>
  <c r="CC17" i="1"/>
  <c r="CD16" i="1"/>
  <c r="CC16" i="1"/>
  <c r="CC15" i="1"/>
  <c r="CD14" i="1"/>
  <c r="B13" i="1"/>
  <c r="CD13" i="1"/>
  <c r="CC13" i="1"/>
  <c r="CC14" i="1" s="1"/>
  <c r="CE15" i="1" l="1"/>
  <c r="CF15" i="1" s="1"/>
  <c r="CE13" i="1"/>
  <c r="CF13" i="1" s="1"/>
  <c r="CE14" i="1"/>
  <c r="CF14" i="1" s="1"/>
  <c r="CE16" i="1"/>
  <c r="CF16" i="1" s="1"/>
  <c r="CE17" i="1"/>
  <c r="CF17" i="1" s="1"/>
  <c r="J13" i="1" l="1"/>
  <c r="I13" i="1"/>
  <c r="K13" i="1" s="1"/>
  <c r="L8" i="1"/>
  <c r="L5" i="1"/>
  <c r="E5" i="1"/>
  <c r="K14" i="1" l="1"/>
  <c r="I14" i="1"/>
  <c r="J14" i="1"/>
  <c r="L14" i="1"/>
  <c r="J15" i="1" l="1"/>
  <c r="J16" i="1" s="1"/>
  <c r="I17" i="1"/>
  <c r="I15" i="1"/>
  <c r="I16" i="1" l="1"/>
  <c r="I18" i="1" s="1"/>
  <c r="K17" i="1"/>
  <c r="J17" i="1"/>
  <c r="L17" i="1"/>
  <c r="L16" i="1" l="1"/>
  <c r="L18" i="1" s="1"/>
  <c r="K16" i="1"/>
  <c r="K18" i="1" s="1"/>
  <c r="J18" i="1"/>
  <c r="D13" i="1" l="1"/>
  <c r="C13" i="1" l="1"/>
  <c r="E8" i="1" l="1"/>
  <c r="CC22" i="1" l="1"/>
  <c r="CD22" i="1" s="1"/>
  <c r="CC25" i="1"/>
  <c r="CD25" i="1" s="1"/>
  <c r="CC21" i="1"/>
  <c r="CD21" i="1" s="1"/>
  <c r="CC23" i="1"/>
  <c r="CD23" i="1" s="1"/>
  <c r="D14" i="1"/>
  <c r="E14" i="1"/>
  <c r="B14" i="1"/>
  <c r="B17" i="1" s="1"/>
  <c r="C14" i="1"/>
  <c r="E17" i="1" l="1"/>
  <c r="F31" i="1" s="1"/>
  <c r="D17" i="1"/>
  <c r="F27" i="1" s="1"/>
  <c r="C17" i="1"/>
  <c r="F23" i="1" s="1"/>
  <c r="B15" i="1"/>
  <c r="C15" i="1"/>
  <c r="C16" i="1" s="1"/>
  <c r="B16" i="1" l="1"/>
  <c r="B18" i="1" s="1"/>
  <c r="CC24" i="1"/>
  <c r="CD24" i="1" s="1"/>
  <c r="F25" i="1"/>
  <c r="F24" i="1"/>
  <c r="C18" i="1"/>
  <c r="E16" i="1"/>
  <c r="E18" i="1" s="1"/>
  <c r="D16" i="1" l="1"/>
  <c r="D18" i="1" s="1"/>
  <c r="D32" i="1"/>
  <c r="D33" i="1"/>
  <c r="D31" i="1"/>
  <c r="D23" i="1"/>
  <c r="D24" i="1"/>
  <c r="D25" i="1"/>
  <c r="F29" i="1"/>
  <c r="F28" i="1"/>
  <c r="F33" i="1"/>
  <c r="F32" i="1"/>
  <c r="D28" i="1" l="1"/>
  <c r="D29" i="1"/>
  <c r="D27" i="1"/>
</calcChain>
</file>

<file path=xl/sharedStrings.xml><?xml version="1.0" encoding="utf-8"?>
<sst xmlns="http://schemas.openxmlformats.org/spreadsheetml/2006/main" count="86" uniqueCount="54">
  <si>
    <t>Podatnik</t>
  </si>
  <si>
    <t>Diałalność
gospodarcza</t>
  </si>
  <si>
    <t>Przychód</t>
  </si>
  <si>
    <t>Koszty</t>
  </si>
  <si>
    <t>Stawka ryczałtu</t>
  </si>
  <si>
    <t>Stawki ryczałtu</t>
  </si>
  <si>
    <t>PIT-11</t>
  </si>
  <si>
    <t>ZUS-51</t>
  </si>
  <si>
    <t>Składki Zus-51</t>
  </si>
  <si>
    <t>PIT37</t>
  </si>
  <si>
    <t>PIT36L + PIT37</t>
  </si>
  <si>
    <t>PIT28 + PIT37</t>
  </si>
  <si>
    <t>Opis wiersza</t>
  </si>
  <si>
    <t>PIT36 + PIT11</t>
  </si>
  <si>
    <t>Co składają małżonkowie</t>
  </si>
  <si>
    <t>Obciążenia fiskalne
Wspólny PIT</t>
  </si>
  <si>
    <t>Małzonek</t>
  </si>
  <si>
    <t>PIT-36</t>
  </si>
  <si>
    <t>Małżonek</t>
  </si>
  <si>
    <t>PIT/37</t>
  </si>
  <si>
    <t>PIT/36 + PIT-11</t>
  </si>
  <si>
    <t>PIT/36L + PIT/37</t>
  </si>
  <si>
    <t>PIT/28 + PIT/37</t>
  </si>
  <si>
    <t xml:space="preserve"> Podstawa podatku</t>
  </si>
  <si>
    <t xml:space="preserve"> Podatek</t>
  </si>
  <si>
    <t xml:space="preserve"> Składka zdrowotna</t>
  </si>
  <si>
    <t xml:space="preserve"> Obciążenie fiskalne</t>
  </si>
  <si>
    <t xml:space="preserve"> Ulga dla klasy średniej</t>
  </si>
  <si>
    <t>PIT/36</t>
  </si>
  <si>
    <t>P.U;.Kl.śr
podatnik</t>
  </si>
  <si>
    <t>P.U;.Kl.śr
małzonek</t>
  </si>
  <si>
    <t>połowa</t>
  </si>
  <si>
    <t>ulga</t>
  </si>
  <si>
    <t>podstawa
podatku</t>
  </si>
  <si>
    <t>podatek</t>
  </si>
  <si>
    <t>36+37</t>
  </si>
  <si>
    <t>36+36</t>
  </si>
  <si>
    <t>36L+36</t>
  </si>
  <si>
    <t>36L+37</t>
  </si>
  <si>
    <t>37+36</t>
  </si>
  <si>
    <t xml:space="preserve">PIT/36 </t>
  </si>
  <si>
    <t>Zeznania</t>
  </si>
  <si>
    <t>36(w)</t>
  </si>
  <si>
    <t>36(w) + 36L(m)</t>
  </si>
  <si>
    <t>36(w) + 36L(p)</t>
  </si>
  <si>
    <t>37(w) + 36L(p) + 36L(m)</t>
  </si>
  <si>
    <t>37(w) + 36L(p) + 28(m)</t>
  </si>
  <si>
    <t>36(w) + 28(p)</t>
  </si>
  <si>
    <t>37(w) + 28(p)+36L(m)</t>
  </si>
  <si>
    <t>37(w) + 28(p)+28(m)</t>
  </si>
  <si>
    <t>Suma kwot z zeznań</t>
  </si>
  <si>
    <t>Obciążenia fiskalne
małżonków
(Suma zeznań)</t>
  </si>
  <si>
    <t>36(w) + 28(m)</t>
  </si>
  <si>
    <t>Dane wprowadzamy w identyczny sposób dla podatnika i dla małżonka.
Wpisujemy przychód i koszty z dzałalności, stawkę ryczałtu którą będzie lub jest opodatkowany podatnik oraz przychód i koszty z innego źródła.
Kalkulator obliczy:
1. Obciążenia finansowe wyłącznie od przychodów z PIT-11 (oznaczone w tabeli jako PIT/37)
2. Obciążenia finansowe gdy podatnik wybierze PIT-36 z działalności i doda do niego przychody z PIT-11
3. Obciążenia finansowe gdy podatnik wybierze PIT-36L z działalności oraz dodatkowo złoży PIT-37 (przychody z PIT-11)
4. Obciążenia finansowe gdy podatnik wybierze PIT-28 z działalności oraz dodatkowo złoży PIT-37 (przychody z PIT-11)
Następnie obliczy sumę obciążeń finansowych przy założeniu odrębnie składanych zeznań, oraz obliczy obciążenia w przypadku jeśli od całoś lub część praychodów małżonkowie opodatkują na wspólnym zeznaniu PIT-37 lub PIT-36
Kolorem czerwonym i zielonym oznaczono najmniej korzystne i najlepsze wybory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</si>
</sst>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%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5" applyNumberFormat="0" applyFill="0" applyAlignment="0" applyProtection="0"/>
    <xf numFmtId="0" fontId="4" fillId="0" borderId="6" applyNumberFormat="0" applyFill="0" applyAlignment="0" applyProtection="0"/>
  </cellStyleXfs>
  <cellXfs count="67">
    <xf numFmtId="0" fontId="0" fillId="0" borderId="0" xfId="0"/>
    <xf numFmtId="164" fontId="0" fillId="0" borderId="0" xfId="0" applyNumberFormat="1"/>
    <xf numFmtId="0" fontId="0" fillId="3" borderId="1" xfId="0" applyFill="1" applyBorder="1" applyAlignment="1">
      <alignment horizontal="center" vertical="center"/>
    </xf>
    <xf numFmtId="44" fontId="0" fillId="4" borderId="1" xfId="0" applyNumberFormat="1" applyFill="1" applyBorder="1"/>
    <xf numFmtId="164" fontId="0" fillId="4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Border="1"/>
    <xf numFmtId="43" fontId="2" fillId="3" borderId="1" xfId="0" applyNumberFormat="1" applyFont="1" applyFill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44" fontId="0" fillId="4" borderId="4" xfId="0" applyNumberFormat="1" applyFill="1" applyBorder="1"/>
    <xf numFmtId="0" fontId="3" fillId="2" borderId="9" xfId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right" vertical="center"/>
    </xf>
    <xf numFmtId="0" fontId="5" fillId="5" borderId="9" xfId="2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vertical="center"/>
    </xf>
    <xf numFmtId="0" fontId="2" fillId="6" borderId="10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Fill="1"/>
    <xf numFmtId="8" fontId="0" fillId="0" borderId="0" xfId="0" applyNumberFormat="1" applyFill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44" fontId="0" fillId="0" borderId="0" xfId="0" applyNumberFormat="1" applyProtection="1"/>
    <xf numFmtId="0" fontId="0" fillId="0" borderId="0" xfId="0" applyFill="1" applyAlignment="1">
      <alignment horizontal="left" vertical="top" wrapText="1"/>
    </xf>
    <xf numFmtId="0" fontId="0" fillId="6" borderId="10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5" fontId="0" fillId="3" borderId="1" xfId="0" applyNumberFormat="1" applyFill="1" applyBorder="1"/>
    <xf numFmtId="0" fontId="2" fillId="3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165" fontId="0" fillId="3" borderId="4" xfId="0" applyNumberFormat="1" applyFill="1" applyBorder="1"/>
    <xf numFmtId="0" fontId="2" fillId="3" borderId="4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0" fillId="8" borderId="15" xfId="0" applyFill="1" applyBorder="1" applyAlignment="1">
      <alignment horizontal="left" vertical="top" wrapText="1"/>
    </xf>
    <xf numFmtId="0" fontId="0" fillId="8" borderId="16" xfId="0" applyFill="1" applyBorder="1" applyAlignment="1">
      <alignment horizontal="left" vertical="top" wrapText="1"/>
    </xf>
    <xf numFmtId="0" fontId="0" fillId="8" borderId="17" xfId="0" applyFill="1" applyBorder="1" applyAlignment="1">
      <alignment horizontal="left" vertical="top" wrapText="1"/>
    </xf>
    <xf numFmtId="0" fontId="0" fillId="8" borderId="18" xfId="0" applyFill="1" applyBorder="1" applyAlignment="1">
      <alignment horizontal="left" vertical="top" wrapText="1"/>
    </xf>
    <xf numFmtId="0" fontId="0" fillId="8" borderId="0" xfId="0" applyFill="1" applyBorder="1" applyAlignment="1">
      <alignment horizontal="left" vertical="top" wrapText="1"/>
    </xf>
    <xf numFmtId="0" fontId="0" fillId="8" borderId="19" xfId="0" applyFill="1" applyBorder="1" applyAlignment="1">
      <alignment horizontal="left" vertical="top" wrapText="1"/>
    </xf>
    <xf numFmtId="0" fontId="0" fillId="8" borderId="20" xfId="0" applyFill="1" applyBorder="1" applyAlignment="1">
      <alignment horizontal="left" vertical="top" wrapText="1"/>
    </xf>
    <xf numFmtId="0" fontId="0" fillId="8" borderId="21" xfId="0" applyFill="1" applyBorder="1" applyAlignment="1">
      <alignment horizontal="left" vertical="top" wrapText="1"/>
    </xf>
    <xf numFmtId="0" fontId="0" fillId="8" borderId="22" xfId="0" applyFill="1" applyBorder="1" applyAlignment="1">
      <alignment horizontal="left" vertical="top" wrapText="1"/>
    </xf>
    <xf numFmtId="0" fontId="5" fillId="5" borderId="9" xfId="2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44" fontId="7" fillId="5" borderId="1" xfId="0" applyNumberFormat="1" applyFont="1" applyFill="1" applyBorder="1" applyAlignment="1">
      <alignment horizontal="left" vertical="center"/>
    </xf>
    <xf numFmtId="0" fontId="3" fillId="2" borderId="9" xfId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4" fontId="1" fillId="4" borderId="3" xfId="0" applyNumberFormat="1" applyFont="1" applyFill="1" applyBorder="1" applyAlignment="1">
      <alignment vertical="center"/>
    </xf>
    <xf numFmtId="44" fontId="1" fillId="4" borderId="4" xfId="0" applyNumberFormat="1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44" fontId="1" fillId="4" borderId="2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44" fontId="7" fillId="5" borderId="7" xfId="0" applyNumberFormat="1" applyFont="1" applyFill="1" applyBorder="1" applyAlignment="1">
      <alignment horizontal="left" vertical="center"/>
    </xf>
    <xf numFmtId="44" fontId="7" fillId="5" borderId="8" xfId="0" applyNumberFormat="1" applyFont="1" applyFill="1" applyBorder="1" applyAlignment="1">
      <alignment horizontal="left" vertical="center"/>
    </xf>
  </cellXfs>
  <cellStyles count="3">
    <cellStyle name="Nagłówek 1" xfId="1" builtinId="16"/>
    <cellStyle name="Nagłówek 2" xfId="2" builtinId="17"/>
    <cellStyle name="Normalny" xfId="0" builtinId="0"/>
  </cellStyles>
  <dxfs count="6">
    <dxf>
      <fill>
        <patternFill>
          <bgColor rgb="FF92D05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FF5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G39"/>
  <sheetViews>
    <sheetView tabSelected="1" topLeftCell="A2" workbookViewId="0">
      <selection activeCell="D5" sqref="D5"/>
    </sheetView>
  </sheetViews>
  <sheetFormatPr defaultRowHeight="15" x14ac:dyDescent="0.25"/>
  <cols>
    <col min="1" max="1" width="3.140625" customWidth="1"/>
    <col min="2" max="2" width="16.28515625" customWidth="1"/>
    <col min="3" max="3" width="19.42578125" customWidth="1"/>
    <col min="4" max="4" width="18" customWidth="1"/>
    <col min="5" max="5" width="19.85546875" customWidth="1"/>
    <col min="6" max="6" width="14.85546875" customWidth="1"/>
    <col min="7" max="7" width="16.42578125" customWidth="1"/>
    <col min="8" max="8" width="29.5703125" customWidth="1"/>
    <col min="9" max="9" width="18.7109375" customWidth="1"/>
    <col min="10" max="10" width="16" customWidth="1"/>
    <col min="11" max="11" width="17.5703125" customWidth="1"/>
    <col min="12" max="12" width="16.7109375" customWidth="1"/>
    <col min="14" max="14" width="16.42578125" customWidth="1"/>
    <col min="79" max="79" width="3.5703125" customWidth="1"/>
    <col min="80" max="80" width="15.140625" customWidth="1"/>
    <col min="81" max="81" width="14" customWidth="1"/>
    <col min="82" max="82" width="22.140625" customWidth="1"/>
    <col min="83" max="83" width="15.85546875" customWidth="1"/>
    <col min="84" max="84" width="20.42578125" customWidth="1"/>
  </cols>
  <sheetData>
    <row r="2" spans="2:84" ht="12.75" customHeight="1" x14ac:dyDescent="0.25"/>
    <row r="3" spans="2:84" hidden="1" x14ac:dyDescent="0.25"/>
    <row r="4" spans="2:84" ht="27" customHeight="1" thickBot="1" x14ac:dyDescent="0.3">
      <c r="B4" s="57" t="s">
        <v>0</v>
      </c>
      <c r="C4" s="57"/>
      <c r="D4" s="57"/>
      <c r="E4" s="12" t="s">
        <v>7</v>
      </c>
      <c r="I4" s="57" t="s">
        <v>18</v>
      </c>
      <c r="J4" s="57"/>
      <c r="K4" s="57"/>
      <c r="L4" s="12" t="s">
        <v>7</v>
      </c>
    </row>
    <row r="5" spans="2:84" x14ac:dyDescent="0.25">
      <c r="B5" s="58" t="s">
        <v>1</v>
      </c>
      <c r="C5" s="10" t="s">
        <v>2</v>
      </c>
      <c r="D5" s="11">
        <v>120000</v>
      </c>
      <c r="E5" s="60">
        <f>IF(D5&gt;0.1,13490.76,0)</f>
        <v>13490.76</v>
      </c>
      <c r="I5" s="58" t="s">
        <v>1</v>
      </c>
      <c r="J5" s="10" t="s">
        <v>2</v>
      </c>
      <c r="K5" s="11">
        <v>0</v>
      </c>
      <c r="L5" s="60">
        <f>IF(K5&gt;0.1,13490.76,0)</f>
        <v>0</v>
      </c>
    </row>
    <row r="6" spans="2:84" x14ac:dyDescent="0.25">
      <c r="B6" s="58"/>
      <c r="C6" s="2" t="s">
        <v>3</v>
      </c>
      <c r="D6" s="3">
        <v>5000</v>
      </c>
      <c r="E6" s="60"/>
      <c r="I6" s="58"/>
      <c r="J6" s="2" t="s">
        <v>3</v>
      </c>
      <c r="K6" s="3">
        <v>0</v>
      </c>
      <c r="L6" s="60"/>
    </row>
    <row r="7" spans="2:84" x14ac:dyDescent="0.25">
      <c r="B7" s="59"/>
      <c r="C7" s="2" t="s">
        <v>4</v>
      </c>
      <c r="D7" s="4">
        <v>0.12</v>
      </c>
      <c r="E7" s="61"/>
      <c r="I7" s="59"/>
      <c r="J7" s="2" t="s">
        <v>4</v>
      </c>
      <c r="K7" s="4">
        <v>0.12</v>
      </c>
      <c r="L7" s="61"/>
    </row>
    <row r="8" spans="2:84" x14ac:dyDescent="0.25">
      <c r="B8" s="62" t="s">
        <v>6</v>
      </c>
      <c r="C8" s="2" t="s">
        <v>2</v>
      </c>
      <c r="D8" s="3">
        <v>0</v>
      </c>
      <c r="E8" s="63">
        <f>MIN(D8,177660)*13.71%</f>
        <v>0</v>
      </c>
      <c r="I8" s="62" t="s">
        <v>6</v>
      </c>
      <c r="J8" s="2" t="s">
        <v>2</v>
      </c>
      <c r="K8" s="3">
        <v>0</v>
      </c>
      <c r="L8" s="63">
        <f>MIN(K8,177660)*13.71%</f>
        <v>0</v>
      </c>
    </row>
    <row r="9" spans="2:84" x14ac:dyDescent="0.25">
      <c r="B9" s="59"/>
      <c r="C9" s="2" t="s">
        <v>3</v>
      </c>
      <c r="D9" s="3">
        <v>0</v>
      </c>
      <c r="E9" s="64"/>
      <c r="I9" s="59"/>
      <c r="J9" s="2" t="s">
        <v>3</v>
      </c>
      <c r="K9" s="3">
        <v>0</v>
      </c>
      <c r="L9" s="64"/>
    </row>
    <row r="10" spans="2:84" ht="24.75" customHeight="1" x14ac:dyDescent="0.25">
      <c r="E10" s="6"/>
      <c r="L10" s="6"/>
    </row>
    <row r="11" spans="2:84" hidden="1" x14ac:dyDescent="0.25"/>
    <row r="12" spans="2:84" ht="26.25" customHeight="1" thickBot="1" x14ac:dyDescent="0.3">
      <c r="B12" s="14" t="s">
        <v>19</v>
      </c>
      <c r="C12" s="14" t="s">
        <v>20</v>
      </c>
      <c r="D12" s="14" t="s">
        <v>21</v>
      </c>
      <c r="E12" s="14" t="s">
        <v>22</v>
      </c>
      <c r="F12" s="54" t="s">
        <v>12</v>
      </c>
      <c r="G12" s="54"/>
      <c r="I12" s="14" t="s">
        <v>9</v>
      </c>
      <c r="J12" s="14" t="s">
        <v>13</v>
      </c>
      <c r="K12" s="14" t="s">
        <v>10</v>
      </c>
      <c r="L12" s="14" t="s">
        <v>11</v>
      </c>
      <c r="M12" s="54" t="s">
        <v>12</v>
      </c>
      <c r="N12" s="54"/>
      <c r="CB12" s="22"/>
      <c r="CC12" s="23" t="s">
        <v>29</v>
      </c>
      <c r="CD12" s="24" t="s">
        <v>30</v>
      </c>
      <c r="CE12" s="22" t="s">
        <v>31</v>
      </c>
      <c r="CF12" s="22" t="s">
        <v>32</v>
      </c>
    </row>
    <row r="13" spans="2:84" ht="24.95" customHeight="1" x14ac:dyDescent="0.25">
      <c r="B13" s="13">
        <f>ROUND(IF(AND(D8&gt;=68412, D8&lt;=102588),(D8*6.68/100-4566)/0.17,IF(AND(D8&gt;=102588,D8&lt;=133692),(-D8*7.35/100+9829)/0.17,0)),2)</f>
        <v>0</v>
      </c>
      <c r="C13" s="13">
        <f>ROUND(IF(AND((D8+MAX(D5-D6,0))&gt;=68412, (D8+MAX(D5-D6,0))&lt;=102588),((D8+MAX(D5-D6,0))*6.68/100-4566)/0.17,IF(AND(D8+MAX(D5-D6,0)&gt;=102588,D8+MAX(D5-D6,0)&lt;=133692),(-(D8+MAX(D5-D6,0))*7.35/100+9829)/0.17,0)),2)</f>
        <v>8097.06</v>
      </c>
      <c r="D13" s="13">
        <f>B13</f>
        <v>0</v>
      </c>
      <c r="E13" s="13">
        <v>0</v>
      </c>
      <c r="F13" s="55" t="s">
        <v>27</v>
      </c>
      <c r="G13" s="55"/>
      <c r="I13" s="15">
        <f>ROUND(IF(AND(K8&gt;=68412, K8&lt;=102588),(K8*6.68/100-4566)/0.17,IF(AND(K8&gt;=102588,K8&lt;=133692),(-K8*7.35/100+9829)/0.17,0)),2)</f>
        <v>0</v>
      </c>
      <c r="J13" s="15">
        <f>ROUND(IF(AND((K8+MAX(K5-K6,0))&gt;=68412, (K8+MAX(K5-K6,0))&lt;=102588),((K8+MAX(K5-K6,0))*6.68/100-4566)/0.17,IF(AND(K8+MAX(K5-K6,0)&gt;=102588,K8+MAX(K5-K6,0)&lt;=133692),(-(K8+MAX(K5-K6,0))*7.35/100+9829)/0.17,0)),2)</f>
        <v>0</v>
      </c>
      <c r="K13" s="15">
        <f>I13</f>
        <v>0</v>
      </c>
      <c r="L13" s="15">
        <v>0</v>
      </c>
      <c r="M13" s="55" t="s">
        <v>27</v>
      </c>
      <c r="N13" s="55"/>
      <c r="CB13" s="22" t="s">
        <v>36</v>
      </c>
      <c r="CC13" s="25">
        <f>MAX(D5-D6,0)+D8</f>
        <v>115000</v>
      </c>
      <c r="CD13" s="25">
        <f>MAX(K5-K6,0)+K8</f>
        <v>0</v>
      </c>
      <c r="CE13" s="25">
        <f>(CC13+CD13)/2</f>
        <v>57500</v>
      </c>
      <c r="CF13" s="25">
        <f>ROUND(IF(AND(CE13&gt;=68412, CE13&lt;=102588),(CE13*6.68/100-4566)/0.17,IF(AND(CE13&gt;=102588,CE13&lt;=133692),(-CE13*7.35/100+9829)/0.17,0)),2)</f>
        <v>0</v>
      </c>
    </row>
    <row r="14" spans="2:84" ht="24.95" customHeight="1" x14ac:dyDescent="0.25">
      <c r="B14" s="9">
        <f>E8</f>
        <v>0</v>
      </c>
      <c r="C14" s="9">
        <f>E8+E5</f>
        <v>13490.76</v>
      </c>
      <c r="D14" s="9">
        <f>E8+E5</f>
        <v>13490.76</v>
      </c>
      <c r="E14" s="9">
        <f>E5+E8</f>
        <v>13490.76</v>
      </c>
      <c r="F14" s="65" t="s">
        <v>8</v>
      </c>
      <c r="G14" s="66"/>
      <c r="I14" s="8">
        <f>L8</f>
        <v>0</v>
      </c>
      <c r="J14" s="8">
        <f>L8+L5</f>
        <v>0</v>
      </c>
      <c r="K14" s="8">
        <f>L8+L5</f>
        <v>0</v>
      </c>
      <c r="L14" s="8">
        <f>L5+L8</f>
        <v>0</v>
      </c>
      <c r="M14" s="56" t="s">
        <v>8</v>
      </c>
      <c r="N14" s="56"/>
      <c r="CB14" s="22" t="s">
        <v>35</v>
      </c>
      <c r="CC14" s="25">
        <f>CC13</f>
        <v>115000</v>
      </c>
      <c r="CD14" s="25">
        <f>K8</f>
        <v>0</v>
      </c>
      <c r="CE14" s="25">
        <f>(CC14+CD14)/2</f>
        <v>57500</v>
      </c>
      <c r="CF14" s="25">
        <f>ROUND(IF(AND(CE14&gt;=68412, CE14&lt;=102588),(CE14*6.68/100-4566)/0.17,IF(AND(CE14&gt;=102588,CE14&lt;=133692),(-CE14*7.35/100+9829)/0.17,0)),2)</f>
        <v>0</v>
      </c>
    </row>
    <row r="15" spans="2:84" ht="24.95" customHeight="1" x14ac:dyDescent="0.25">
      <c r="B15" s="9">
        <f>ROUND(MAX(D8-B13-B14-D9,0),0)</f>
        <v>0</v>
      </c>
      <c r="C15" s="9">
        <f>ROUND(MAX(MAX(D8-D9,0) + MAX(D5-D6,0) - C13-C14,0),0)</f>
        <v>93412</v>
      </c>
      <c r="D15" s="9"/>
      <c r="E15" s="9"/>
      <c r="F15" s="39" t="s">
        <v>23</v>
      </c>
      <c r="G15" s="39"/>
      <c r="I15" s="8">
        <f>ROUND(MAX(K8-I13-I14-K9,0),0)</f>
        <v>0</v>
      </c>
      <c r="J15" s="8">
        <f>ROUND(MAX(MAX(K8-K9,0) + MAX(K5-K6,0) - J13-J14,0),0)</f>
        <v>0</v>
      </c>
      <c r="K15" s="8"/>
      <c r="L15" s="8"/>
      <c r="M15" s="39" t="s">
        <v>23</v>
      </c>
      <c r="N15" s="39"/>
      <c r="CB15" s="22" t="s">
        <v>37</v>
      </c>
      <c r="CC15" s="25">
        <f>D8</f>
        <v>0</v>
      </c>
      <c r="CD15" s="25">
        <f>MAX(K5-K6,0)+K8</f>
        <v>0</v>
      </c>
      <c r="CE15" s="25">
        <f>(CC15+CD15)/2</f>
        <v>0</v>
      </c>
      <c r="CF15" s="25">
        <f>ROUND(IF(AND(CE15&gt;=68412, CE15&lt;=102588),(CE15*6.68/100-4566)/0.17,IF(AND(CE15&gt;=102588,CE15&lt;=133692),(-CE15*7.35/100+9829)/0.17,0)),2)</f>
        <v>0</v>
      </c>
    </row>
    <row r="16" spans="2:84" ht="24.95" customHeight="1" x14ac:dyDescent="0.25">
      <c r="B16" s="9">
        <f>MAX(IF(B15&lt;=120000,B15*0.17-5100,(B15-120000)*0.32+15300),0)</f>
        <v>0</v>
      </c>
      <c r="C16" s="9">
        <f>MAX(IF(C15&lt;=120000,C15*0.17-5100,(C15-120000)*0.32+15300),0)</f>
        <v>10780.04</v>
      </c>
      <c r="D16" s="9">
        <f>ROUND(MAX(D5-D6-E5,0),0)*19%+B16</f>
        <v>19286.71</v>
      </c>
      <c r="E16" s="9">
        <f>B16+MAX((D5-E5)*D7,0)</f>
        <v>12781.1088</v>
      </c>
      <c r="F16" s="39" t="s">
        <v>24</v>
      </c>
      <c r="G16" s="39"/>
      <c r="I16" s="8">
        <f>MAX(IF(I15&lt;=120000,I15*0.17-5100,(I15-120000)*0.32+15300),0)</f>
        <v>0</v>
      </c>
      <c r="J16" s="8">
        <f>MAX(IF(J15&lt;=120000,J15*0.17-5100,(J15-120000)*0.32+15300),0)</f>
        <v>0</v>
      </c>
      <c r="K16" s="8">
        <f>ROUND(MAX(K5-K6-L5,0),0)*19%+I16</f>
        <v>0</v>
      </c>
      <c r="L16" s="8">
        <f>I16+MAX((K5-L5)*K7,0)</f>
        <v>0</v>
      </c>
      <c r="M16" s="39" t="s">
        <v>24</v>
      </c>
      <c r="N16" s="39"/>
      <c r="CB16" s="22" t="s">
        <v>38</v>
      </c>
      <c r="CC16" s="25">
        <f>D8</f>
        <v>0</v>
      </c>
      <c r="CD16" s="25">
        <f>K8</f>
        <v>0</v>
      </c>
      <c r="CE16" s="25">
        <f>(CC16+CD16)/2</f>
        <v>0</v>
      </c>
      <c r="CF16" s="25">
        <f>ROUND(IF(AND(CE16&gt;=68412, CE16&lt;=102588),(CE16*6.68/100-4566)/0.17,IF(AND(CE16&gt;=102588,CE16&lt;=133692),(-CE16*7.35/100+9829)/0.17,0)),2)</f>
        <v>0</v>
      </c>
    </row>
    <row r="17" spans="2:85" ht="24.95" customHeight="1" x14ac:dyDescent="0.25">
      <c r="B17" s="9">
        <f>MAX((D8-B14)*9%,0)</f>
        <v>0</v>
      </c>
      <c r="C17" s="9">
        <f>IF(D5&gt;1,MAX(MAX((D5-D6-E5)*9%,0),3250.8),0)+B17</f>
        <v>9135.8315999999995</v>
      </c>
      <c r="D17" s="9">
        <f>IF(D5&gt;1,MAX(MAX((D5-D6-E5)*4.9%,0),3250.8),0)+B17</f>
        <v>4973.9527600000001</v>
      </c>
      <c r="E17" s="9">
        <f>IF(D5&gt;1,IF(D5&lt;60000,3743,IF(D5&lt;300000,6237,11227)),0)+B17</f>
        <v>6237</v>
      </c>
      <c r="F17" s="39" t="s">
        <v>25</v>
      </c>
      <c r="G17" s="39"/>
      <c r="I17" s="8">
        <f>MAX((K8-I14)*9%,0)</f>
        <v>0</v>
      </c>
      <c r="J17" s="8">
        <f>IF(K5&gt;1,MAX(MAX((K5-K6-L5)*9%,0),3250.8),0)+I17</f>
        <v>0</v>
      </c>
      <c r="K17" s="8">
        <f>IF(K5&gt;1,MAX(MAX((K5-K6-L5)*4.9%,0),3250.8),0)+I17</f>
        <v>0</v>
      </c>
      <c r="L17" s="8">
        <f>IF(K5&gt;1,IF(K5&lt;60000,3743,IF(K5&lt;300000,6237,11227)),0)+I17</f>
        <v>0</v>
      </c>
      <c r="M17" s="39" t="s">
        <v>25</v>
      </c>
      <c r="N17" s="39"/>
      <c r="CB17" s="22" t="s">
        <v>39</v>
      </c>
      <c r="CC17" s="25">
        <f>D8</f>
        <v>0</v>
      </c>
      <c r="CD17" s="25">
        <f>MAX(K5-K6,0)+K8</f>
        <v>0</v>
      </c>
      <c r="CE17" s="25">
        <f>(CC17+CD17)/2</f>
        <v>0</v>
      </c>
      <c r="CF17" s="25">
        <f>ROUND(IF(AND(CE17&gt;=68412, CE17&lt;=102588),(CE17*6.68/100-4566)/0.17,IF(AND(CE17&gt;=102588,CE17&lt;=133692),(-CE17*7.35/100+9829)/0.17,0)),2)</f>
        <v>0</v>
      </c>
    </row>
    <row r="18" spans="2:85" ht="39.75" customHeight="1" x14ac:dyDescent="0.25">
      <c r="B18" s="7">
        <f>B14+B16+B17</f>
        <v>0</v>
      </c>
      <c r="C18" s="7">
        <f>C14+C16+C17</f>
        <v>33406.631600000001</v>
      </c>
      <c r="D18" s="7">
        <f>D14+D16+D17</f>
        <v>37751.422760000001</v>
      </c>
      <c r="E18" s="7">
        <f>E14+E16+E17</f>
        <v>32508.8688</v>
      </c>
      <c r="F18" s="39" t="s">
        <v>26</v>
      </c>
      <c r="G18" s="39"/>
      <c r="I18" s="7">
        <f>I14+I16+I17</f>
        <v>0</v>
      </c>
      <c r="J18" s="7">
        <f>J14+J16+J17</f>
        <v>0</v>
      </c>
      <c r="K18" s="7">
        <f>K14+K16+K17</f>
        <v>0</v>
      </c>
      <c r="L18" s="7">
        <f>L14+L16+L17</f>
        <v>0</v>
      </c>
      <c r="M18" s="39" t="s">
        <v>26</v>
      </c>
      <c r="N18" s="39"/>
      <c r="CB18" s="22"/>
      <c r="CC18" s="25"/>
      <c r="CD18" s="25"/>
      <c r="CE18" s="25"/>
      <c r="CF18" s="25"/>
    </row>
    <row r="19" spans="2:85" ht="15.75" thickBot="1" x14ac:dyDescent="0.3">
      <c r="CB19" s="22"/>
      <c r="CC19" s="22"/>
      <c r="CD19" s="22"/>
      <c r="CE19" s="22"/>
      <c r="CF19" s="22"/>
    </row>
    <row r="20" spans="2:85" ht="15" hidden="1" customHeight="1" thickBot="1" x14ac:dyDescent="0.3">
      <c r="H20" s="18"/>
      <c r="I20" s="18"/>
      <c r="J20" s="18"/>
      <c r="K20" s="18"/>
      <c r="L20" s="18"/>
      <c r="M20" s="18"/>
      <c r="N20" s="18"/>
      <c r="CB20" s="22"/>
      <c r="CC20" s="23" t="s">
        <v>33</v>
      </c>
      <c r="CD20" s="22" t="s">
        <v>34</v>
      </c>
      <c r="CE20" s="22"/>
      <c r="CF20" s="22"/>
    </row>
    <row r="21" spans="2:85" ht="60" customHeight="1" thickBot="1" x14ac:dyDescent="0.3">
      <c r="B21" s="37" t="s">
        <v>14</v>
      </c>
      <c r="C21" s="37"/>
      <c r="D21" s="38" t="s">
        <v>51</v>
      </c>
      <c r="E21" s="38"/>
      <c r="F21" s="40" t="s">
        <v>15</v>
      </c>
      <c r="G21" s="41"/>
      <c r="H21" s="42"/>
      <c r="I21" s="26"/>
      <c r="J21" s="45" t="s">
        <v>53</v>
      </c>
      <c r="K21" s="46"/>
      <c r="L21" s="46"/>
      <c r="M21" s="46"/>
      <c r="N21" s="47"/>
      <c r="CB21" s="22" t="s">
        <v>36</v>
      </c>
      <c r="CC21" s="25">
        <f>(MAX(MAX(D5-D6,0)+MAX(D8-D9,0)-E5-E8-CF13,0)+MAX(MAX(K5-K6,0)+MAX(K8-K9,0)-L5-L8-CF13,0))/2</f>
        <v>50754.62</v>
      </c>
      <c r="CD21" s="25">
        <f>MAX(IF(CC21&lt;=120000,CC21*0.17-5100,(CC21-120000)*0.32+15300),0)*2</f>
        <v>7056.5708000000013</v>
      </c>
      <c r="CE21" s="25"/>
      <c r="CF21" s="25"/>
      <c r="CG21" s="17"/>
    </row>
    <row r="22" spans="2:85" ht="20.25" customHeight="1" thickBot="1" x14ac:dyDescent="0.3">
      <c r="B22" s="16" t="s">
        <v>0</v>
      </c>
      <c r="C22" s="16" t="s">
        <v>16</v>
      </c>
      <c r="D22" s="38"/>
      <c r="E22" s="38"/>
      <c r="F22" s="43" t="s">
        <v>50</v>
      </c>
      <c r="G22" s="44"/>
      <c r="H22" s="27" t="s">
        <v>41</v>
      </c>
      <c r="I22" s="18"/>
      <c r="J22" s="48"/>
      <c r="K22" s="49"/>
      <c r="L22" s="49"/>
      <c r="M22" s="49"/>
      <c r="N22" s="50"/>
      <c r="CB22" s="22" t="s">
        <v>35</v>
      </c>
      <c r="CC22" s="25">
        <f>(MAX(MAX(D5-D6,0)+MAX(D8-D9,0)-E5-E8-CF14,0)+MAX(MAX(K8-K9,0)-L8-CF14,0))/2</f>
        <v>50754.62</v>
      </c>
      <c r="CD22" s="25">
        <f>MAX(IF(CC22&lt;=120000,CC22*0.17-5100,(CC22-120000)*0.32+15300),0)*2</f>
        <v>7056.5708000000013</v>
      </c>
      <c r="CE22" s="25"/>
      <c r="CF22" s="25"/>
      <c r="CG22" s="17"/>
    </row>
    <row r="23" spans="2:85" ht="15.75" x14ac:dyDescent="0.25">
      <c r="B23" s="36" t="s">
        <v>28</v>
      </c>
      <c r="C23" s="20" t="s">
        <v>17</v>
      </c>
      <c r="D23" s="35">
        <f>C18+J18</f>
        <v>33406.631600000001</v>
      </c>
      <c r="E23" s="35"/>
      <c r="F23" s="35">
        <f>E8+E5+CD21+C17+J17+L8+L5</f>
        <v>29683.162400000001</v>
      </c>
      <c r="G23" s="35"/>
      <c r="H23" s="28" t="s">
        <v>42</v>
      </c>
      <c r="I23" s="18"/>
      <c r="J23" s="48"/>
      <c r="K23" s="49"/>
      <c r="L23" s="49"/>
      <c r="M23" s="49"/>
      <c r="N23" s="50"/>
      <c r="CB23" s="22" t="s">
        <v>37</v>
      </c>
      <c r="CC23" s="25">
        <f>(MAX(MAX(D8-D9,0)-E8-CF15,0)+MAX(MAX(K8-K9,0)+MAX(K5-K6,)-L5-L8-CF15,0))/2</f>
        <v>0</v>
      </c>
      <c r="CD23" s="25">
        <f>MAX(IF(CC23&lt;=120000,CC23*0.17-5100,(CC23-120000)*0.32+15300),0)*2</f>
        <v>0</v>
      </c>
      <c r="CE23" s="25"/>
      <c r="CF23" s="25"/>
      <c r="CG23" s="17"/>
    </row>
    <row r="24" spans="2:85" ht="15.75" x14ac:dyDescent="0.25">
      <c r="B24" s="31"/>
      <c r="C24" s="21" t="s">
        <v>21</v>
      </c>
      <c r="D24" s="30">
        <f>C18+K18</f>
        <v>33406.631600000001</v>
      </c>
      <c r="E24" s="30"/>
      <c r="F24" s="30">
        <f>E5+E8+CD22+C17+K17+L5+L8+ROUND(MAX(K5-K6-L5,0),0)*19%</f>
        <v>29683.162400000001</v>
      </c>
      <c r="G24" s="30"/>
      <c r="H24" s="29" t="s">
        <v>43</v>
      </c>
      <c r="I24" s="18"/>
      <c r="J24" s="48"/>
      <c r="K24" s="49"/>
      <c r="L24" s="49"/>
      <c r="M24" s="49"/>
      <c r="N24" s="50"/>
      <c r="CB24" s="22" t="s">
        <v>38</v>
      </c>
      <c r="CC24" s="25">
        <f>(B15+I15)/2</f>
        <v>0</v>
      </c>
      <c r="CD24" s="25">
        <f>MAX(IF(CC24&lt;=120000,CC24*0.17-5100,(CC24-120000)*0.32+15300),0)*2</f>
        <v>0</v>
      </c>
      <c r="CE24" s="25"/>
      <c r="CF24" s="25"/>
      <c r="CG24" s="17"/>
    </row>
    <row r="25" spans="2:85" ht="15.75" x14ac:dyDescent="0.25">
      <c r="B25" s="31"/>
      <c r="C25" s="21" t="s">
        <v>22</v>
      </c>
      <c r="D25" s="30">
        <f>C18+L18</f>
        <v>33406.631600000001</v>
      </c>
      <c r="E25" s="30"/>
      <c r="F25" s="30">
        <f>E5+E8+CD22+C17+L17+L5+L8+MAX((K5-L5)*K7,0)</f>
        <v>29683.162400000001</v>
      </c>
      <c r="G25" s="30"/>
      <c r="H25" s="29" t="s">
        <v>52</v>
      </c>
      <c r="I25" s="18"/>
      <c r="J25" s="48"/>
      <c r="K25" s="49"/>
      <c r="L25" s="49"/>
      <c r="M25" s="49"/>
      <c r="N25" s="50"/>
      <c r="CB25" s="22" t="s">
        <v>39</v>
      </c>
      <c r="CC25" s="25">
        <f>(MAX(MAX(D8-D9,0)-E8-CF17,0)+MAX(MAX(K5-K6,0)+MAX(K8-K9,0)-L5-L8-CF17,0))/2</f>
        <v>0</v>
      </c>
      <c r="CD25" s="25">
        <f>MAX(IF(CC25&lt;=120000,CC25*0.17-5100,(CC25-120000)*0.32+15300),0)*2</f>
        <v>0</v>
      </c>
      <c r="CE25" s="25"/>
      <c r="CF25" s="25"/>
      <c r="CG25" s="17"/>
    </row>
    <row r="26" spans="2:85" ht="15.75" x14ac:dyDescent="0.25">
      <c r="B26" s="32"/>
      <c r="C26" s="33"/>
      <c r="D26" s="33"/>
      <c r="E26" s="33"/>
      <c r="F26" s="33"/>
      <c r="G26" s="33"/>
      <c r="H26" s="34"/>
      <c r="I26" s="18"/>
      <c r="J26" s="48"/>
      <c r="K26" s="49"/>
      <c r="L26" s="49"/>
      <c r="M26" s="49"/>
      <c r="N26" s="50"/>
      <c r="CC26" s="17"/>
      <c r="CD26" s="17"/>
      <c r="CE26" s="17"/>
      <c r="CF26" s="17"/>
      <c r="CG26" s="17"/>
    </row>
    <row r="27" spans="2:85" ht="15.75" x14ac:dyDescent="0.25">
      <c r="B27" s="31" t="s">
        <v>21</v>
      </c>
      <c r="C27" s="21" t="s">
        <v>28</v>
      </c>
      <c r="D27" s="30">
        <f>D18+J18</f>
        <v>37751.422760000001</v>
      </c>
      <c r="E27" s="30"/>
      <c r="F27" s="30">
        <f>ROUND(MAX(D5-D6-E5,0),0)*19%+E8+E5+D17+CD23+L5+L8+J17</f>
        <v>37751.422760000001</v>
      </c>
      <c r="G27" s="30"/>
      <c r="H27" s="29" t="s">
        <v>44</v>
      </c>
      <c r="I27" s="18"/>
      <c r="J27" s="48"/>
      <c r="K27" s="49"/>
      <c r="L27" s="49"/>
      <c r="M27" s="49"/>
      <c r="N27" s="50"/>
      <c r="CC27" s="17"/>
      <c r="CD27" s="17"/>
      <c r="CE27" s="17"/>
      <c r="CF27" s="17"/>
      <c r="CG27" s="17"/>
    </row>
    <row r="28" spans="2:85" ht="15.75" x14ac:dyDescent="0.25">
      <c r="B28" s="31"/>
      <c r="C28" s="21" t="s">
        <v>21</v>
      </c>
      <c r="D28" s="30">
        <f>D18+K18</f>
        <v>37751.422760000001</v>
      </c>
      <c r="E28" s="30"/>
      <c r="F28" s="30">
        <f>ROUND(MAX(D5-D6-E5,0),0)*19%+CD24+ROUND(MAX(K5-K6-E5,0),0)*19%+E5+E8+L5+L8+D17+K17</f>
        <v>37751.422760000001</v>
      </c>
      <c r="G28" s="30"/>
      <c r="H28" s="29" t="s">
        <v>45</v>
      </c>
      <c r="I28" s="18"/>
      <c r="J28" s="48"/>
      <c r="K28" s="49"/>
      <c r="L28" s="49"/>
      <c r="M28" s="49"/>
      <c r="N28" s="50"/>
      <c r="CC28" s="17"/>
      <c r="CD28" s="17"/>
      <c r="CE28" s="17"/>
      <c r="CF28" s="17"/>
      <c r="CG28" s="17"/>
    </row>
    <row r="29" spans="2:85" ht="15.75" x14ac:dyDescent="0.25">
      <c r="B29" s="31"/>
      <c r="C29" s="21" t="s">
        <v>22</v>
      </c>
      <c r="D29" s="30">
        <f>D18+L18</f>
        <v>37751.422760000001</v>
      </c>
      <c r="E29" s="30"/>
      <c r="F29" s="30">
        <f>ROUND(MAX(D5-D6-E5,0),0)*19%+CD24+MAX((K5-L5)*K7,0)+E5+E8+L5+L8+D17+L17</f>
        <v>37751.422760000001</v>
      </c>
      <c r="G29" s="30"/>
      <c r="H29" s="29" t="s">
        <v>46</v>
      </c>
      <c r="I29" s="18"/>
      <c r="J29" s="48"/>
      <c r="K29" s="49"/>
      <c r="L29" s="49"/>
      <c r="M29" s="49"/>
      <c r="N29" s="50"/>
      <c r="CC29" s="17"/>
      <c r="CD29" s="17"/>
      <c r="CE29" s="17"/>
      <c r="CF29" s="17"/>
      <c r="CG29" s="17"/>
    </row>
    <row r="30" spans="2:85" ht="15.75" x14ac:dyDescent="0.25">
      <c r="B30" s="32"/>
      <c r="C30" s="33"/>
      <c r="D30" s="33"/>
      <c r="E30" s="33"/>
      <c r="F30" s="33"/>
      <c r="G30" s="33"/>
      <c r="H30" s="34"/>
      <c r="I30" s="18"/>
      <c r="J30" s="48"/>
      <c r="K30" s="49"/>
      <c r="L30" s="49"/>
      <c r="M30" s="49"/>
      <c r="N30" s="50"/>
      <c r="CC30" s="17"/>
      <c r="CD30" s="17"/>
      <c r="CE30" s="17"/>
      <c r="CF30" s="17"/>
      <c r="CG30" s="17"/>
    </row>
    <row r="31" spans="2:85" ht="15.75" x14ac:dyDescent="0.25">
      <c r="B31" s="31" t="s">
        <v>22</v>
      </c>
      <c r="C31" s="21" t="s">
        <v>40</v>
      </c>
      <c r="D31" s="30">
        <f>E18+J18</f>
        <v>32508.8688</v>
      </c>
      <c r="E31" s="30"/>
      <c r="F31" s="30">
        <f>MAX((D5-E5)*D7,0)+CD25+E5+E8+L5+L8+E17+J17</f>
        <v>32508.8688</v>
      </c>
      <c r="G31" s="30"/>
      <c r="H31" s="29" t="s">
        <v>47</v>
      </c>
      <c r="I31" s="18"/>
      <c r="J31" s="48"/>
      <c r="K31" s="49"/>
      <c r="L31" s="49"/>
      <c r="M31" s="49"/>
      <c r="N31" s="50"/>
    </row>
    <row r="32" spans="2:85" ht="15.75" x14ac:dyDescent="0.25">
      <c r="B32" s="31"/>
      <c r="C32" s="21" t="s">
        <v>21</v>
      </c>
      <c r="D32" s="30">
        <f>E18+K18</f>
        <v>32508.8688</v>
      </c>
      <c r="E32" s="30"/>
      <c r="F32" s="30">
        <f>MAX((D5-E5)*D7,0)+CD24+ROUND(MAX(K5-K6-E5,0),0)*19%+E5+E8+L5+L8+E17+K17</f>
        <v>32508.8688</v>
      </c>
      <c r="G32" s="30"/>
      <c r="H32" s="29" t="s">
        <v>48</v>
      </c>
      <c r="I32" s="18"/>
      <c r="J32" s="48"/>
      <c r="K32" s="49"/>
      <c r="L32" s="49"/>
      <c r="M32" s="49"/>
      <c r="N32" s="50"/>
    </row>
    <row r="33" spans="2:14" ht="15.75" x14ac:dyDescent="0.25">
      <c r="B33" s="31"/>
      <c r="C33" s="21" t="s">
        <v>22</v>
      </c>
      <c r="D33" s="30">
        <f>E18+L18</f>
        <v>32508.8688</v>
      </c>
      <c r="E33" s="30"/>
      <c r="F33" s="30">
        <f>MAX((D5-E5)*D7,0)+CD24+MAX((K5-L5)*D7,0)+E5+E8+L5+L8+E17+L17</f>
        <v>32508.8688</v>
      </c>
      <c r="G33" s="30"/>
      <c r="H33" s="29" t="s">
        <v>49</v>
      </c>
      <c r="I33" s="18"/>
      <c r="J33" s="48"/>
      <c r="K33" s="49"/>
      <c r="L33" s="49"/>
      <c r="M33" s="49"/>
      <c r="N33" s="50"/>
    </row>
    <row r="34" spans="2:14" ht="45" customHeight="1" x14ac:dyDescent="0.25">
      <c r="B34" s="18"/>
      <c r="C34" s="18"/>
      <c r="D34" s="19"/>
      <c r="E34" s="18"/>
      <c r="F34" s="18"/>
      <c r="G34" s="18"/>
      <c r="H34" s="18"/>
      <c r="I34" s="18"/>
      <c r="J34" s="51"/>
      <c r="K34" s="52"/>
      <c r="L34" s="52"/>
      <c r="M34" s="52"/>
      <c r="N34" s="53"/>
    </row>
    <row r="35" spans="2:14" x14ac:dyDescent="0.25">
      <c r="B35" s="18"/>
      <c r="C35" s="18"/>
      <c r="D35" s="19"/>
      <c r="E35" s="18"/>
      <c r="F35" s="19"/>
      <c r="G35" s="18"/>
      <c r="H35" s="18"/>
      <c r="I35" s="18"/>
      <c r="J35" s="18"/>
      <c r="K35" s="18"/>
      <c r="L35" s="18"/>
      <c r="M35" s="18"/>
      <c r="N35" s="18"/>
    </row>
    <row r="36" spans="2:14" x14ac:dyDescent="0.25">
      <c r="B36" s="18"/>
      <c r="C36" s="18"/>
      <c r="D36" s="19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2:14" x14ac:dyDescent="0.25">
      <c r="B37" s="18"/>
      <c r="C37" s="18"/>
      <c r="D37" s="19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2:14" x14ac:dyDescent="0.25">
      <c r="B38" s="18"/>
      <c r="C38" s="18"/>
      <c r="D38" s="19"/>
      <c r="E38" s="18"/>
      <c r="F38" s="19"/>
      <c r="G38" s="18"/>
      <c r="H38" s="18"/>
      <c r="I38" s="18"/>
      <c r="J38" s="18"/>
      <c r="K38" s="18"/>
      <c r="L38" s="18"/>
      <c r="M38" s="18"/>
      <c r="N38" s="18"/>
    </row>
    <row r="39" spans="2:14" x14ac:dyDescent="0.25">
      <c r="B39" s="18"/>
      <c r="C39" s="18"/>
      <c r="D39" s="18"/>
      <c r="E39" s="18"/>
      <c r="F39" s="18"/>
      <c r="G39" s="18"/>
      <c r="H39" s="18"/>
      <c r="I39" s="18"/>
    </row>
  </sheetData>
  <sheetProtection password="C5BA" sheet="1" objects="1" scenarios="1"/>
  <mergeCells count="52">
    <mergeCell ref="F13:G13"/>
    <mergeCell ref="F14:G14"/>
    <mergeCell ref="F15:G15"/>
    <mergeCell ref="F16:G16"/>
    <mergeCell ref="F17:G17"/>
    <mergeCell ref="B5:B7"/>
    <mergeCell ref="B8:B9"/>
    <mergeCell ref="B4:D4"/>
    <mergeCell ref="E5:E7"/>
    <mergeCell ref="E8:E9"/>
    <mergeCell ref="F12:G12"/>
    <mergeCell ref="I4:K4"/>
    <mergeCell ref="I5:I7"/>
    <mergeCell ref="L5:L7"/>
    <mergeCell ref="I8:I9"/>
    <mergeCell ref="L8:L9"/>
    <mergeCell ref="M12:N12"/>
    <mergeCell ref="M13:N13"/>
    <mergeCell ref="M14:N14"/>
    <mergeCell ref="M15:N15"/>
    <mergeCell ref="M16:N16"/>
    <mergeCell ref="B21:C21"/>
    <mergeCell ref="D21:E22"/>
    <mergeCell ref="M17:N17"/>
    <mergeCell ref="M18:N18"/>
    <mergeCell ref="F18:G18"/>
    <mergeCell ref="F21:H21"/>
    <mergeCell ref="F22:G22"/>
    <mergeCell ref="J21:N34"/>
    <mergeCell ref="F23:G23"/>
    <mergeCell ref="F24:G24"/>
    <mergeCell ref="F25:G25"/>
    <mergeCell ref="F27:G27"/>
    <mergeCell ref="B23:B25"/>
    <mergeCell ref="B27:B29"/>
    <mergeCell ref="D23:E23"/>
    <mergeCell ref="D24:E24"/>
    <mergeCell ref="D25:E25"/>
    <mergeCell ref="D27:E27"/>
    <mergeCell ref="D28:E28"/>
    <mergeCell ref="D29:E29"/>
    <mergeCell ref="B31:B33"/>
    <mergeCell ref="D31:E31"/>
    <mergeCell ref="D32:E32"/>
    <mergeCell ref="D33:E33"/>
    <mergeCell ref="B26:H26"/>
    <mergeCell ref="B30:H30"/>
    <mergeCell ref="F33:G33"/>
    <mergeCell ref="F28:G28"/>
    <mergeCell ref="F29:G29"/>
    <mergeCell ref="F31:G31"/>
    <mergeCell ref="F32:G32"/>
  </mergeCells>
  <conditionalFormatting sqref="C18:E18">
    <cfRule type="top10" dxfId="5" priority="5" bottom="1" rank="1"/>
    <cfRule type="top10" dxfId="4" priority="6" rank="1"/>
  </conditionalFormatting>
  <conditionalFormatting sqref="J18:L18">
    <cfRule type="top10" dxfId="3" priority="3" bottom="1" rank="1"/>
    <cfRule type="top10" dxfId="2" priority="4" rank="1"/>
  </conditionalFormatting>
  <conditionalFormatting sqref="D23:G25 D27:G29 D31:G33">
    <cfRule type="top10" dxfId="1" priority="2" rank="3"/>
  </conditionalFormatting>
  <conditionalFormatting sqref="D23:G25 D27:G29 D31:G33">
    <cfRule type="top10" dxfId="0" priority="1" bottom="1" rank="3"/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Arkusz2!$A$2:$A$12</xm:f>
          </x14:formula1>
          <xm:sqref>D7</xm:sqref>
        </x14:dataValidation>
        <x14:dataValidation type="list" allowBlank="1" showInputMessage="1" showErrorMessage="1">
          <x14:formula1>
            <xm:f>Arkusz2!$A$2:$A$12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5</v>
      </c>
    </row>
    <row r="2" spans="1:1" x14ac:dyDescent="0.25">
      <c r="A2" s="1">
        <v>0</v>
      </c>
    </row>
    <row r="3" spans="1:1" x14ac:dyDescent="0.25">
      <c r="A3" s="1">
        <v>0.02</v>
      </c>
    </row>
    <row r="4" spans="1:1" x14ac:dyDescent="0.25">
      <c r="A4" s="1">
        <v>0.03</v>
      </c>
    </row>
    <row r="5" spans="1:1" x14ac:dyDescent="0.25">
      <c r="A5" s="1">
        <v>5.5E-2</v>
      </c>
    </row>
    <row r="6" spans="1:1" x14ac:dyDescent="0.25">
      <c r="A6" s="1">
        <v>8.5000000000000006E-2</v>
      </c>
    </row>
    <row r="7" spans="1:1" x14ac:dyDescent="0.25">
      <c r="A7" s="1">
        <v>0.1</v>
      </c>
    </row>
    <row r="8" spans="1:1" x14ac:dyDescent="0.25">
      <c r="A8" s="1">
        <v>0.12</v>
      </c>
    </row>
    <row r="9" spans="1:1" x14ac:dyDescent="0.25">
      <c r="A9" s="1">
        <v>0.125</v>
      </c>
    </row>
    <row r="10" spans="1:1" x14ac:dyDescent="0.25">
      <c r="A10" s="1">
        <v>0.14000000000000001</v>
      </c>
    </row>
    <row r="11" spans="1:1" x14ac:dyDescent="0.25">
      <c r="A11" s="1">
        <v>0.15</v>
      </c>
    </row>
    <row r="12" spans="1:1" x14ac:dyDescent="0.25">
      <c r="A12" s="1">
        <v>0.17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9:M13"/>
  <sheetViews>
    <sheetView workbookViewId="0">
      <selection activeCell="U10" sqref="U10"/>
    </sheetView>
  </sheetViews>
  <sheetFormatPr defaultRowHeight="15" x14ac:dyDescent="0.25"/>
  <sheetData>
    <row r="9" spans="13:13" x14ac:dyDescent="0.25">
      <c r="M9" s="5"/>
    </row>
    <row r="10" spans="13:13" x14ac:dyDescent="0.25">
      <c r="M10" s="5"/>
    </row>
    <row r="11" spans="13:13" x14ac:dyDescent="0.25">
      <c r="M11" s="5"/>
    </row>
    <row r="12" spans="13:13" x14ac:dyDescent="0.25">
      <c r="M12" s="5"/>
    </row>
    <row r="13" spans="13:13" x14ac:dyDescent="0.25">
      <c r="M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lta@logotech.com.pl</dc:creator>
  <cp:lastModifiedBy>lta@logotech.com.pl</cp:lastModifiedBy>
  <dcterms:created xsi:type="dcterms:W3CDTF">2021-12-07T14:04:31Z</dcterms:created>
  <dcterms:modified xsi:type="dcterms:W3CDTF">2021-12-08T15:15:10Z</dcterms:modified>
</cp:coreProperties>
</file>