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355" windowWidth="28350" windowHeight="5400"/>
  </bookViews>
  <sheets>
    <sheet name="Arkusz1" sheetId="1" r:id="rId1"/>
    <sheet name="Arkusz2" sheetId="2" state="hidden" r:id="rId2"/>
    <sheet name="Arkusz3" sheetId="3" state="hidden" r:id="rId3"/>
  </sheets>
  <calcPr calcId="145621"/>
</workbook>
</file>

<file path=xl/calcChain.xml><?xml version="1.0" encoding="utf-8"?>
<calcChain xmlns="http://schemas.openxmlformats.org/spreadsheetml/2006/main">
  <c r="T21" i="1" l="1"/>
  <c r="T20" i="1"/>
  <c r="T19" i="1"/>
  <c r="T18" i="1"/>
  <c r="T17" i="1"/>
  <c r="T16" i="1"/>
  <c r="T15" i="1"/>
  <c r="T14" i="1"/>
  <c r="T13" i="1"/>
  <c r="T12" i="1"/>
  <c r="T11" i="1"/>
  <c r="T10" i="1"/>
  <c r="E25" i="1" l="1"/>
  <c r="D21" i="1" l="1"/>
  <c r="D20" i="1"/>
  <c r="D19" i="1"/>
  <c r="D18" i="1"/>
  <c r="D17" i="1"/>
  <c r="D16" i="1"/>
  <c r="D15" i="1"/>
  <c r="D14" i="1"/>
  <c r="D13" i="1"/>
  <c r="D12" i="1"/>
  <c r="D11" i="1"/>
  <c r="D10" i="1"/>
  <c r="B22" i="1"/>
  <c r="I14" i="1" l="1"/>
  <c r="I19" i="1"/>
  <c r="I11" i="1"/>
  <c r="I12" i="1"/>
  <c r="I16" i="1"/>
  <c r="I20" i="1"/>
  <c r="I15" i="1"/>
  <c r="I13" i="1"/>
  <c r="I17" i="1"/>
  <c r="I21" i="1"/>
  <c r="I10" i="1"/>
  <c r="E10" i="1"/>
  <c r="F10" i="1" s="1"/>
  <c r="I18" i="1"/>
  <c r="E11" i="1" l="1"/>
  <c r="F11" i="1" s="1"/>
  <c r="G10" i="1"/>
  <c r="J10" i="1" s="1"/>
  <c r="R10" i="1" s="1"/>
  <c r="M10" i="1" s="1"/>
  <c r="K10" i="1" l="1"/>
  <c r="S10" i="1" s="1"/>
  <c r="H10" i="1"/>
  <c r="E12" i="1"/>
  <c r="F12" i="1" s="1"/>
  <c r="G11" i="1"/>
  <c r="L10" i="1" l="1"/>
  <c r="N10" i="1" s="1"/>
  <c r="Q10" i="1" s="1"/>
  <c r="J11" i="1"/>
  <c r="R11" i="1" s="1"/>
  <c r="M11" i="1" s="1"/>
  <c r="H11" i="1"/>
  <c r="K11" i="1"/>
  <c r="E13" i="1"/>
  <c r="F13" i="1" s="1"/>
  <c r="G12" i="1"/>
  <c r="S11" i="1" l="1"/>
  <c r="O10" i="1"/>
  <c r="K12" i="1"/>
  <c r="S12" i="1" s="1"/>
  <c r="L12" i="1" s="1"/>
  <c r="J12" i="1"/>
  <c r="H12" i="1"/>
  <c r="E14" i="1"/>
  <c r="F14" i="1" s="1"/>
  <c r="G13" i="1"/>
  <c r="L11" i="1" l="1"/>
  <c r="N11" i="1" s="1"/>
  <c r="O11" i="1" s="1"/>
  <c r="R12" i="1"/>
  <c r="M12" i="1" s="1"/>
  <c r="J13" i="1"/>
  <c r="H13" i="1"/>
  <c r="K13" i="1"/>
  <c r="S13" i="1" s="1"/>
  <c r="E15" i="1"/>
  <c r="F15" i="1" s="1"/>
  <c r="G14" i="1"/>
  <c r="P11" i="1" l="1"/>
  <c r="Q11" i="1" s="1"/>
  <c r="L13" i="1"/>
  <c r="R13" i="1"/>
  <c r="M13" i="1" s="1"/>
  <c r="N12" i="1"/>
  <c r="J14" i="1"/>
  <c r="K14" i="1"/>
  <c r="H14" i="1"/>
  <c r="E16" i="1"/>
  <c r="F16" i="1" s="1"/>
  <c r="G15" i="1"/>
  <c r="R14" i="1" l="1"/>
  <c r="M14" i="1" s="1"/>
  <c r="S14" i="1"/>
  <c r="L14" i="1" s="1"/>
  <c r="O12" i="1"/>
  <c r="P12" i="1" s="1"/>
  <c r="Q12" i="1" s="1"/>
  <c r="N13" i="1"/>
  <c r="J15" i="1"/>
  <c r="K15" i="1"/>
  <c r="S15" i="1" s="1"/>
  <c r="H15" i="1"/>
  <c r="E17" i="1"/>
  <c r="F17" i="1" s="1"/>
  <c r="G16" i="1"/>
  <c r="L15" i="1" l="1"/>
  <c r="N14" i="1"/>
  <c r="R15" i="1"/>
  <c r="M15" i="1" s="1"/>
  <c r="O13" i="1"/>
  <c r="P13" i="1" s="1"/>
  <c r="K16" i="1"/>
  <c r="S16" i="1" s="1"/>
  <c r="H16" i="1"/>
  <c r="J16" i="1"/>
  <c r="E18" i="1"/>
  <c r="F18" i="1" s="1"/>
  <c r="G17" i="1"/>
  <c r="L16" i="1" l="1"/>
  <c r="O14" i="1"/>
  <c r="P14" i="1" s="1"/>
  <c r="Q14" i="1" s="1"/>
  <c r="R16" i="1"/>
  <c r="M16" i="1" s="1"/>
  <c r="Q13" i="1"/>
  <c r="N15" i="1"/>
  <c r="H17" i="1"/>
  <c r="J17" i="1"/>
  <c r="K17" i="1"/>
  <c r="S17" i="1" s="1"/>
  <c r="E19" i="1"/>
  <c r="F19" i="1" s="1"/>
  <c r="G18" i="1"/>
  <c r="O15" i="1" l="1"/>
  <c r="P15" i="1" s="1"/>
  <c r="Q15" i="1" s="1"/>
  <c r="L17" i="1"/>
  <c r="R17" i="1"/>
  <c r="M17" i="1" s="1"/>
  <c r="N16" i="1"/>
  <c r="H18" i="1"/>
  <c r="J18" i="1"/>
  <c r="K18" i="1"/>
  <c r="S18" i="1" s="1"/>
  <c r="E20" i="1"/>
  <c r="F20" i="1" s="1"/>
  <c r="G19" i="1"/>
  <c r="L18" i="1" l="1"/>
  <c r="O16" i="1"/>
  <c r="P16" i="1" s="1"/>
  <c r="Q16" i="1" s="1"/>
  <c r="R18" i="1"/>
  <c r="M18" i="1" s="1"/>
  <c r="N17" i="1"/>
  <c r="H19" i="1"/>
  <c r="J19" i="1"/>
  <c r="K19" i="1"/>
  <c r="S19" i="1" s="1"/>
  <c r="E21" i="1"/>
  <c r="F21" i="1" s="1"/>
  <c r="G20" i="1"/>
  <c r="O17" i="1" l="1"/>
  <c r="P17" i="1" s="1"/>
  <c r="Q17" i="1" s="1"/>
  <c r="L19" i="1"/>
  <c r="R19" i="1"/>
  <c r="M19" i="1" s="1"/>
  <c r="N18" i="1"/>
  <c r="G21" i="1"/>
  <c r="K21" i="1" s="1"/>
  <c r="E23" i="1"/>
  <c r="E26" i="1" s="1"/>
  <c r="H20" i="1"/>
  <c r="K20" i="1"/>
  <c r="S20" i="1" s="1"/>
  <c r="J20" i="1"/>
  <c r="O18" i="1" l="1"/>
  <c r="P18" i="1" s="1"/>
  <c r="Q18" i="1" s="1"/>
  <c r="N19" i="1"/>
  <c r="L20" i="1"/>
  <c r="R20" i="1"/>
  <c r="M20" i="1" s="1"/>
  <c r="S21" i="1"/>
  <c r="E24" i="1"/>
  <c r="J21" i="1"/>
  <c r="H21" i="1"/>
  <c r="O19" i="1" l="1"/>
  <c r="P19" i="1" s="1"/>
  <c r="Q19" i="1" s="1"/>
  <c r="N20" i="1"/>
  <c r="L21" i="1"/>
  <c r="R21" i="1"/>
  <c r="M21" i="1" s="1"/>
  <c r="E27" i="1"/>
  <c r="E28" i="1" s="1"/>
  <c r="B24" i="1" s="1"/>
  <c r="O20" i="1" l="1"/>
  <c r="P20" i="1" s="1"/>
  <c r="Q20" i="1" s="1"/>
  <c r="N21" i="1"/>
  <c r="O21" i="1" l="1"/>
  <c r="P21" i="1" s="1"/>
  <c r="Q21" i="1" s="1"/>
  <c r="Q22" i="1" s="1"/>
  <c r="B23" i="1" s="1"/>
  <c r="B25" i="1" s="1"/>
  <c r="B26" i="1" l="1"/>
</calcChain>
</file>

<file path=xl/sharedStrings.xml><?xml version="1.0" encoding="utf-8"?>
<sst xmlns="http://schemas.openxmlformats.org/spreadsheetml/2006/main" count="63" uniqueCount="59">
  <si>
    <t>Koszty uzyskania</t>
  </si>
  <si>
    <t>Roczny limit kosztów uzyskania</t>
  </si>
  <si>
    <t>Korzysta z ulgi dla Kl. Średniej</t>
  </si>
  <si>
    <t>Tak</t>
  </si>
  <si>
    <t>Odlicza Kwotę wolną (425,-)</t>
  </si>
  <si>
    <t>Nie</t>
  </si>
  <si>
    <t>Opłaca składki ZUS</t>
  </si>
  <si>
    <t>Kwota</t>
  </si>
  <si>
    <t>Styczeń:</t>
  </si>
  <si>
    <t>Luty:</t>
  </si>
  <si>
    <t>Marzec:</t>
  </si>
  <si>
    <t>Kwiecień:</t>
  </si>
  <si>
    <t>Maj:</t>
  </si>
  <si>
    <t>Czerwiec:</t>
  </si>
  <si>
    <t>Lipiec:</t>
  </si>
  <si>
    <t>Sierpień:</t>
  </si>
  <si>
    <t>Wrzesień:</t>
  </si>
  <si>
    <t>Październik:</t>
  </si>
  <si>
    <t>Listopad:</t>
  </si>
  <si>
    <t>Grudzień:</t>
  </si>
  <si>
    <t>Suma</t>
  </si>
  <si>
    <t>Podatek w zeznaniu roczym</t>
  </si>
  <si>
    <t>DO ZWROTU</t>
  </si>
  <si>
    <t>DO ZAPŁATY</t>
  </si>
  <si>
    <t>Stawka miesięczna Brutto</t>
  </si>
  <si>
    <t>korzysta z odroczenia zaliczki</t>
  </si>
  <si>
    <t>Suma pobranych zaliczek</t>
  </si>
  <si>
    <t>Zus-51</t>
  </si>
  <si>
    <t>Przychod</t>
  </si>
  <si>
    <t>Zus51</t>
  </si>
  <si>
    <t>Koszty</t>
  </si>
  <si>
    <t>Klasa śr</t>
  </si>
  <si>
    <t>Dochod</t>
  </si>
  <si>
    <t>podatek</t>
  </si>
  <si>
    <t>Przychód roczny</t>
  </si>
  <si>
    <t>Pobrane zaliczki</t>
  </si>
  <si>
    <t>roczne koszty</t>
  </si>
  <si>
    <t>Ulga dla klasy średniej</t>
  </si>
  <si>
    <t>Podstawa opodatkowania</t>
  </si>
  <si>
    <t>Roczny podatek</t>
  </si>
  <si>
    <t>Wypłaty dodatkowe w m-cu</t>
  </si>
  <si>
    <t>Przychód
mc</t>
  </si>
  <si>
    <t>Przych
narastająco</t>
  </si>
  <si>
    <t>Podstawa
Zus</t>
  </si>
  <si>
    <t>zus-52
(7.75%)</t>
  </si>
  <si>
    <t>Ulga dla
klśr</t>
  </si>
  <si>
    <t>podstawa
nowa</t>
  </si>
  <si>
    <t>Podstawa
stara</t>
  </si>
  <si>
    <t>Zaliczka
stara</t>
  </si>
  <si>
    <t>Zaliczka
Nowa</t>
  </si>
  <si>
    <t>zaliczka
odroczona</t>
  </si>
  <si>
    <t>Odroczona
do wykorzyst.</t>
  </si>
  <si>
    <t>Zaliczka
wykorzystana</t>
  </si>
  <si>
    <t>Zaliczka
do urzędu</t>
  </si>
  <si>
    <t>dochód
narastająco
nowy</t>
  </si>
  <si>
    <t>dochód
narastająco
stary</t>
  </si>
  <si>
    <t>stara
ulga</t>
  </si>
  <si>
    <t>Kwoty
w
zeznaniu
rocznym</t>
  </si>
  <si>
    <t>Wartości w
komórkach z lewej
strony
trzeba wybrać
z listy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</si>
</sst>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7" borderId="8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44" fontId="0" fillId="0" borderId="0" xfId="0" applyNumberFormat="1"/>
    <xf numFmtId="43" fontId="0" fillId="0" borderId="0" xfId="0" applyNumberFormat="1"/>
    <xf numFmtId="41" fontId="0" fillId="0" borderId="0" xfId="0" applyNumberFormat="1"/>
    <xf numFmtId="43" fontId="2" fillId="4" borderId="4" xfId="0" applyNumberFormat="1" applyFont="1" applyFill="1" applyBorder="1" applyAlignment="1" applyProtection="1">
      <alignment horizontal="center" vertical="center"/>
      <protection locked="0"/>
    </xf>
    <xf numFmtId="43" fontId="2" fillId="6" borderId="4" xfId="0" applyNumberFormat="1" applyFont="1" applyFill="1" applyBorder="1" applyProtection="1">
      <protection locked="0"/>
    </xf>
    <xf numFmtId="43" fontId="2" fillId="0" borderId="0" xfId="0" applyNumberFormat="1" applyFont="1"/>
    <xf numFmtId="43" fontId="2" fillId="6" borderId="9" xfId="0" applyNumberFormat="1" applyFont="1" applyFill="1" applyBorder="1"/>
    <xf numFmtId="43" fontId="2" fillId="6" borderId="11" xfId="0" applyNumberFormat="1" applyFont="1" applyFill="1" applyBorder="1"/>
    <xf numFmtId="43" fontId="2" fillId="8" borderId="11" xfId="0" applyNumberFormat="1" applyFont="1" applyFill="1" applyBorder="1" applyAlignment="1">
      <alignment horizontal="center" vertical="center"/>
    </xf>
    <xf numFmtId="43" fontId="2" fillId="9" borderId="13" xfId="0" applyNumberFormat="1" applyFont="1" applyFill="1" applyBorder="1" applyAlignment="1">
      <alignment horizontal="center" vertical="center"/>
    </xf>
    <xf numFmtId="43" fontId="0" fillId="0" borderId="4" xfId="0" applyNumberFormat="1" applyBorder="1"/>
    <xf numFmtId="41" fontId="0" fillId="0" borderId="4" xfId="0" applyNumberForma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3" fontId="4" fillId="0" borderId="4" xfId="0" applyNumberFormat="1" applyFont="1" applyBorder="1"/>
    <xf numFmtId="44" fontId="0" fillId="0" borderId="8" xfId="0" applyNumberFormat="1" applyBorder="1"/>
    <xf numFmtId="43" fontId="4" fillId="0" borderId="20" xfId="0" applyNumberFormat="1" applyFont="1" applyBorder="1"/>
    <xf numFmtId="44" fontId="0" fillId="0" borderId="10" xfId="0" applyNumberFormat="1" applyBorder="1"/>
    <xf numFmtId="44" fontId="0" fillId="0" borderId="12" xfId="0" applyNumberFormat="1" applyBorder="1"/>
    <xf numFmtId="43" fontId="4" fillId="0" borderId="23" xfId="0" applyNumberFormat="1" applyFont="1" applyBorder="1"/>
    <xf numFmtId="43" fontId="2" fillId="10" borderId="3" xfId="0" applyNumberFormat="1" applyFont="1" applyFill="1" applyBorder="1" applyAlignment="1" applyProtection="1">
      <alignment horizontal="center" vertical="center"/>
      <protection locked="0"/>
    </xf>
    <xf numFmtId="44" fontId="5" fillId="0" borderId="21" xfId="0" applyNumberFormat="1" applyFont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/>
    </xf>
    <xf numFmtId="44" fontId="5" fillId="0" borderId="14" xfId="0" applyNumberFormat="1" applyFont="1" applyBorder="1" applyAlignment="1">
      <alignment horizontal="center" vertical="center"/>
    </xf>
    <xf numFmtId="44" fontId="5" fillId="0" borderId="22" xfId="0" applyNumberFormat="1" applyFont="1" applyBorder="1" applyAlignment="1">
      <alignment horizontal="center" vertical="center"/>
    </xf>
    <xf numFmtId="44" fontId="5" fillId="0" borderId="24" xfId="0" applyNumberFormat="1" applyFont="1" applyBorder="1" applyAlignment="1">
      <alignment horizontal="center" vertical="center"/>
    </xf>
    <xf numFmtId="44" fontId="5" fillId="0" borderId="25" xfId="0" applyNumberFormat="1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44" fontId="0" fillId="3" borderId="4" xfId="0" applyNumberFormat="1" applyFill="1" applyBorder="1" applyAlignment="1">
      <alignment horizontal="center"/>
    </xf>
    <xf numFmtId="44" fontId="0" fillId="3" borderId="23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0" fillId="3" borderId="20" xfId="0" applyNumberFormat="1" applyFill="1" applyBorder="1" applyAlignment="1">
      <alignment horizontal="center"/>
    </xf>
    <xf numFmtId="41" fontId="0" fillId="8" borderId="4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workbookViewId="0">
      <selection activeCell="B2" sqref="B2"/>
    </sheetView>
  </sheetViews>
  <sheetFormatPr defaultRowHeight="15" x14ac:dyDescent="0.25"/>
  <cols>
    <col min="1" max="1" width="39.140625" customWidth="1"/>
    <col min="2" max="2" width="18.7109375" customWidth="1"/>
    <col min="3" max="3" width="1.140625" customWidth="1"/>
    <col min="4" max="5" width="15.140625" customWidth="1"/>
    <col min="6" max="6" width="14.42578125" customWidth="1"/>
    <col min="7" max="7" width="11.5703125" customWidth="1"/>
    <col min="8" max="8" width="12.140625" customWidth="1"/>
    <col min="9" max="9" width="11.7109375" customWidth="1"/>
    <col min="10" max="10" width="12" customWidth="1"/>
    <col min="11" max="11" width="12.85546875" customWidth="1"/>
    <col min="12" max="12" width="10.85546875" customWidth="1"/>
    <col min="13" max="13" width="11.7109375" customWidth="1"/>
    <col min="14" max="14" width="10.5703125" customWidth="1"/>
    <col min="15" max="15" width="12.140625" customWidth="1"/>
    <col min="16" max="16" width="11" customWidth="1"/>
    <col min="17" max="17" width="10.42578125" customWidth="1"/>
    <col min="18" max="18" width="13.85546875" customWidth="1"/>
    <col min="19" max="19" width="13.28515625" customWidth="1"/>
  </cols>
  <sheetData>
    <row r="1" spans="1:30" ht="3.75" customHeight="1" thickBot="1" x14ac:dyDescent="0.3">
      <c r="A1" s="49"/>
      <c r="B1" s="50"/>
    </row>
    <row r="2" spans="1:30" ht="15.75" x14ac:dyDescent="0.25">
      <c r="A2" s="1" t="s">
        <v>24</v>
      </c>
      <c r="B2" s="34">
        <v>3000</v>
      </c>
    </row>
    <row r="3" spans="1:30" ht="15.75" x14ac:dyDescent="0.25">
      <c r="A3" s="2" t="s">
        <v>0</v>
      </c>
      <c r="B3" s="17">
        <v>250</v>
      </c>
      <c r="D3" s="41" t="s">
        <v>58</v>
      </c>
      <c r="E3" s="42"/>
    </row>
    <row r="4" spans="1:30" ht="15.75" x14ac:dyDescent="0.25">
      <c r="A4" s="3" t="s">
        <v>1</v>
      </c>
      <c r="B4" s="17">
        <v>3000</v>
      </c>
      <c r="D4" s="43"/>
      <c r="E4" s="44"/>
    </row>
    <row r="5" spans="1:30" ht="15.75" x14ac:dyDescent="0.25">
      <c r="A5" s="2" t="s">
        <v>2</v>
      </c>
      <c r="B5" s="4" t="s">
        <v>3</v>
      </c>
      <c r="D5" s="43"/>
      <c r="E5" s="44"/>
    </row>
    <row r="6" spans="1:30" ht="15.75" x14ac:dyDescent="0.25">
      <c r="A6" s="2" t="s">
        <v>4</v>
      </c>
      <c r="B6" s="4" t="s">
        <v>3</v>
      </c>
      <c r="D6" s="43"/>
      <c r="E6" s="44"/>
    </row>
    <row r="7" spans="1:30" ht="15.75" x14ac:dyDescent="0.25">
      <c r="A7" s="2" t="s">
        <v>25</v>
      </c>
      <c r="B7" s="4" t="s">
        <v>3</v>
      </c>
      <c r="D7" s="43"/>
      <c r="E7" s="44"/>
    </row>
    <row r="8" spans="1:30" ht="16.5" thickBot="1" x14ac:dyDescent="0.3">
      <c r="A8" s="5" t="s">
        <v>6</v>
      </c>
      <c r="B8" s="6" t="s">
        <v>3</v>
      </c>
      <c r="D8" s="45"/>
      <c r="E8" s="46"/>
    </row>
    <row r="9" spans="1:30" ht="45.75" customHeight="1" x14ac:dyDescent="0.25">
      <c r="A9" s="7" t="s">
        <v>40</v>
      </c>
      <c r="B9" s="8" t="s">
        <v>7</v>
      </c>
      <c r="D9" s="26" t="s">
        <v>41</v>
      </c>
      <c r="E9" s="26" t="s">
        <v>42</v>
      </c>
      <c r="F9" s="26" t="s">
        <v>43</v>
      </c>
      <c r="G9" s="27" t="s">
        <v>27</v>
      </c>
      <c r="H9" s="26" t="s">
        <v>44</v>
      </c>
      <c r="I9" s="26" t="s">
        <v>45</v>
      </c>
      <c r="J9" s="26" t="s">
        <v>46</v>
      </c>
      <c r="K9" s="26" t="s">
        <v>47</v>
      </c>
      <c r="L9" s="26" t="s">
        <v>48</v>
      </c>
      <c r="M9" s="26" t="s">
        <v>49</v>
      </c>
      <c r="N9" s="26" t="s">
        <v>50</v>
      </c>
      <c r="O9" s="26" t="s">
        <v>51</v>
      </c>
      <c r="P9" s="26" t="s">
        <v>52</v>
      </c>
      <c r="Q9" s="26" t="s">
        <v>53</v>
      </c>
      <c r="R9" s="26" t="s">
        <v>54</v>
      </c>
      <c r="S9" s="26" t="s">
        <v>55</v>
      </c>
      <c r="T9" s="26" t="s">
        <v>56</v>
      </c>
    </row>
    <row r="10" spans="1:30" ht="15.75" x14ac:dyDescent="0.25">
      <c r="A10" s="9" t="s">
        <v>8</v>
      </c>
      <c r="B10" s="18">
        <v>0</v>
      </c>
      <c r="D10" s="24">
        <f t="shared" ref="D10:D21" si="0">$B$2+B10</f>
        <v>3000</v>
      </c>
      <c r="E10" s="24">
        <f>D10</f>
        <v>3000</v>
      </c>
      <c r="F10" s="24">
        <f t="shared" ref="F10:F21" si="1">IF(E10&lt;177660, D10, MAX(177660-E10+D10,0))</f>
        <v>3000</v>
      </c>
      <c r="G10" s="24">
        <f t="shared" ref="G10:G21" si="2">IF($B$8="Tak",ROUND(F10*9.76%,2)+ROUND(F10*1.5%,2)+ROUND(F10*2.45%,2),0)</f>
        <v>411.3</v>
      </c>
      <c r="H10" s="24">
        <f t="shared" ref="H10:H21" si="3">(D10-G10)*7.75%</f>
        <v>200.62424999999999</v>
      </c>
      <c r="I10" s="24">
        <f t="shared" ref="I10:I21" si="4">IF($B$5="Tak",ROUND(IF(AND(D10&gt;=5701,D10&lt;=8549),(D10*6.68%-380.5)/17%,IF(AND(D10&gt;8549,D10&lt;=11141),(-D10*7.35%+819.08)/17%,0)),2),0)</f>
        <v>0</v>
      </c>
      <c r="J10" s="25">
        <f>ROUND(MAX(D10-G10-I10-$B$3,0),0)</f>
        <v>2339</v>
      </c>
      <c r="K10" s="25">
        <f t="shared" ref="K10:K21" si="5">ROUND(MAX(D10-G10-$B$3,0),0)</f>
        <v>2339</v>
      </c>
      <c r="L10" s="25">
        <f t="shared" ref="L10:L21" si="6">ROUND(MAX(IF(S10&lt;85528,K10*17%-T10,IF(S10-K10&lt;85528,MAX(85528-S10+K10,0)*17%-T10+MAX(S10-85528,0)*32%,K10*32%))-H10,0),0)</f>
        <v>153</v>
      </c>
      <c r="M10" s="25">
        <f>ROUND(MAX(IF(R10&lt;120000,J10*17%,IF(R10-J10&lt;120000,MAX(120000-R10+J10,0)*17%+MAX(R10-120000,0)*32%,J10*32%))- IF($B$6="Tak",425,0),0),)</f>
        <v>0</v>
      </c>
      <c r="N10" s="25">
        <f t="shared" ref="N10:N21" si="7">IF(AND($B$7="Tak",D10&lt;12800), MAX(M10-L10,0),0)</f>
        <v>0</v>
      </c>
      <c r="O10" s="25">
        <f>N10</f>
        <v>0</v>
      </c>
      <c r="P10" s="25">
        <v>0</v>
      </c>
      <c r="Q10" s="52">
        <f>M10-N10+P10</f>
        <v>0</v>
      </c>
      <c r="R10" s="25">
        <f>J10</f>
        <v>2339</v>
      </c>
      <c r="S10" s="25">
        <f>K10</f>
        <v>2339</v>
      </c>
      <c r="T10" s="24">
        <f t="shared" ref="T10:T21" si="8">IF($B$6="Tak",43.76,0)</f>
        <v>43.76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ht="15.75" x14ac:dyDescent="0.25">
      <c r="A11" s="9" t="s">
        <v>9</v>
      </c>
      <c r="B11" s="18">
        <v>0</v>
      </c>
      <c r="D11" s="24">
        <f t="shared" si="0"/>
        <v>3000</v>
      </c>
      <c r="E11" s="24">
        <f t="shared" ref="E11:E21" si="9">D11+E10</f>
        <v>6000</v>
      </c>
      <c r="F11" s="24">
        <f t="shared" si="1"/>
        <v>3000</v>
      </c>
      <c r="G11" s="24">
        <f t="shared" si="2"/>
        <v>411.3</v>
      </c>
      <c r="H11" s="24">
        <f t="shared" si="3"/>
        <v>200.62424999999999</v>
      </c>
      <c r="I11" s="24">
        <f t="shared" si="4"/>
        <v>0</v>
      </c>
      <c r="J11" s="25">
        <f t="shared" ref="J11:J21" si="10">ROUND(MAX(D11-G11-I11-$B$3,0),0)</f>
        <v>2339</v>
      </c>
      <c r="K11" s="25">
        <f t="shared" si="5"/>
        <v>2339</v>
      </c>
      <c r="L11" s="25">
        <f t="shared" si="6"/>
        <v>153</v>
      </c>
      <c r="M11" s="25">
        <f>ROUND(MAX(IF(R11&lt;120000,J11*17%,IF(R11-J11&lt;120000,MAX(120000-R11+J11,0)*17%+MAX(R11-120000,0)*32%,J11*32%))- IF($B$6="Tak",425,0),0),)</f>
        <v>0</v>
      </c>
      <c r="N11" s="25">
        <f t="shared" si="7"/>
        <v>0</v>
      </c>
      <c r="O11" s="25">
        <f t="shared" ref="O11:O21" si="11">N11+O10-P10</f>
        <v>0</v>
      </c>
      <c r="P11" s="25">
        <f t="shared" ref="P11:P21" si="12">IF($B$7="Tak", MIN(MAX(L11-M11,0),O11),0)</f>
        <v>0</v>
      </c>
      <c r="Q11" s="52">
        <f t="shared" ref="Q11:Q21" si="13">M11-N11+P11</f>
        <v>0</v>
      </c>
      <c r="R11" s="25">
        <f t="shared" ref="R11:R21" si="14">J11+R10</f>
        <v>4678</v>
      </c>
      <c r="S11" s="25">
        <f t="shared" ref="S11:S21" si="15">K11+S10</f>
        <v>4678</v>
      </c>
      <c r="T11" s="24">
        <f t="shared" si="8"/>
        <v>43.76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ht="15.75" x14ac:dyDescent="0.25">
      <c r="A12" s="9" t="s">
        <v>10</v>
      </c>
      <c r="B12" s="18">
        <v>0</v>
      </c>
      <c r="D12" s="24">
        <f t="shared" si="0"/>
        <v>3000</v>
      </c>
      <c r="E12" s="24">
        <f t="shared" si="9"/>
        <v>9000</v>
      </c>
      <c r="F12" s="24">
        <f t="shared" si="1"/>
        <v>3000</v>
      </c>
      <c r="G12" s="24">
        <f t="shared" si="2"/>
        <v>411.3</v>
      </c>
      <c r="H12" s="24">
        <f t="shared" si="3"/>
        <v>200.62424999999999</v>
      </c>
      <c r="I12" s="24">
        <f t="shared" si="4"/>
        <v>0</v>
      </c>
      <c r="J12" s="25">
        <f t="shared" si="10"/>
        <v>2339</v>
      </c>
      <c r="K12" s="25">
        <f t="shared" si="5"/>
        <v>2339</v>
      </c>
      <c r="L12" s="25">
        <f t="shared" si="6"/>
        <v>153</v>
      </c>
      <c r="M12" s="25">
        <f>ROUND(MAX(IF(R12&lt;120000,J12*17%,IF(R12-J12&lt;120000,MAX(120000-R12+J12,0)*17%+MAX(R12-120000,0)*32%,J12*32%))- IF($B$6="Tak",425,0),0),)</f>
        <v>0</v>
      </c>
      <c r="N12" s="25">
        <f t="shared" si="7"/>
        <v>0</v>
      </c>
      <c r="O12" s="25">
        <f t="shared" si="11"/>
        <v>0</v>
      </c>
      <c r="P12" s="25">
        <f t="shared" si="12"/>
        <v>0</v>
      </c>
      <c r="Q12" s="52">
        <f t="shared" si="13"/>
        <v>0</v>
      </c>
      <c r="R12" s="25">
        <f t="shared" si="14"/>
        <v>7017</v>
      </c>
      <c r="S12" s="25">
        <f t="shared" si="15"/>
        <v>7017</v>
      </c>
      <c r="T12" s="24">
        <f t="shared" si="8"/>
        <v>43.76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5.75" x14ac:dyDescent="0.25">
      <c r="A13" s="9" t="s">
        <v>11</v>
      </c>
      <c r="B13" s="18">
        <v>0</v>
      </c>
      <c r="D13" s="24">
        <f t="shared" si="0"/>
        <v>3000</v>
      </c>
      <c r="E13" s="24">
        <f t="shared" si="9"/>
        <v>12000</v>
      </c>
      <c r="F13" s="24">
        <f t="shared" si="1"/>
        <v>3000</v>
      </c>
      <c r="G13" s="24">
        <f t="shared" si="2"/>
        <v>411.3</v>
      </c>
      <c r="H13" s="24">
        <f t="shared" si="3"/>
        <v>200.62424999999999</v>
      </c>
      <c r="I13" s="24">
        <f t="shared" si="4"/>
        <v>0</v>
      </c>
      <c r="J13" s="25">
        <f t="shared" si="10"/>
        <v>2339</v>
      </c>
      <c r="K13" s="25">
        <f t="shared" si="5"/>
        <v>2339</v>
      </c>
      <c r="L13" s="25">
        <f t="shared" si="6"/>
        <v>153</v>
      </c>
      <c r="M13" s="25">
        <f>ROUND(MAX(IF(R13&lt;120000,J13*17%,IF(R13-J13&lt;120000,MAX(120000-R13+J13,0)*17%+MAX(R13-120000,0)*32%,J13*32%))- IF($B$6="Tak",425,0),0),)</f>
        <v>0</v>
      </c>
      <c r="N13" s="25">
        <f t="shared" si="7"/>
        <v>0</v>
      </c>
      <c r="O13" s="25">
        <f t="shared" si="11"/>
        <v>0</v>
      </c>
      <c r="P13" s="25">
        <f t="shared" si="12"/>
        <v>0</v>
      </c>
      <c r="Q13" s="52">
        <f t="shared" si="13"/>
        <v>0</v>
      </c>
      <c r="R13" s="25">
        <f t="shared" si="14"/>
        <v>9356</v>
      </c>
      <c r="S13" s="25">
        <f t="shared" si="15"/>
        <v>9356</v>
      </c>
      <c r="T13" s="24">
        <f t="shared" si="8"/>
        <v>43.76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5.75" x14ac:dyDescent="0.25">
      <c r="A14" s="9" t="s">
        <v>12</v>
      </c>
      <c r="B14" s="18">
        <v>0</v>
      </c>
      <c r="D14" s="24">
        <f t="shared" si="0"/>
        <v>3000</v>
      </c>
      <c r="E14" s="24">
        <f t="shared" si="9"/>
        <v>15000</v>
      </c>
      <c r="F14" s="24">
        <f t="shared" si="1"/>
        <v>3000</v>
      </c>
      <c r="G14" s="24">
        <f t="shared" si="2"/>
        <v>411.3</v>
      </c>
      <c r="H14" s="24">
        <f t="shared" si="3"/>
        <v>200.62424999999999</v>
      </c>
      <c r="I14" s="24">
        <f t="shared" si="4"/>
        <v>0</v>
      </c>
      <c r="J14" s="25">
        <f t="shared" si="10"/>
        <v>2339</v>
      </c>
      <c r="K14" s="25">
        <f t="shared" si="5"/>
        <v>2339</v>
      </c>
      <c r="L14" s="25">
        <f t="shared" si="6"/>
        <v>153</v>
      </c>
      <c r="M14" s="25">
        <f>ROUND(MAX(IF(R14&lt;120000,J14*17%,IF(R14-J14&lt;120000,MAX(120000-R14+J14,0)*17%+MAX(R14-120000,0)*32%,J14*32%))- IF($B$6="Tak",425,0),0),)</f>
        <v>0</v>
      </c>
      <c r="N14" s="25">
        <f t="shared" si="7"/>
        <v>0</v>
      </c>
      <c r="O14" s="25">
        <f t="shared" si="11"/>
        <v>0</v>
      </c>
      <c r="P14" s="25">
        <f t="shared" si="12"/>
        <v>0</v>
      </c>
      <c r="Q14" s="52">
        <f t="shared" si="13"/>
        <v>0</v>
      </c>
      <c r="R14" s="25">
        <f t="shared" si="14"/>
        <v>11695</v>
      </c>
      <c r="S14" s="25">
        <f t="shared" si="15"/>
        <v>11695</v>
      </c>
      <c r="T14" s="24">
        <f t="shared" si="8"/>
        <v>43.76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5.75" x14ac:dyDescent="0.25">
      <c r="A15" s="9" t="s">
        <v>13</v>
      </c>
      <c r="B15" s="18">
        <v>0</v>
      </c>
      <c r="D15" s="24">
        <f t="shared" si="0"/>
        <v>3000</v>
      </c>
      <c r="E15" s="24">
        <f t="shared" si="9"/>
        <v>18000</v>
      </c>
      <c r="F15" s="24">
        <f t="shared" si="1"/>
        <v>3000</v>
      </c>
      <c r="G15" s="24">
        <f t="shared" si="2"/>
        <v>411.3</v>
      </c>
      <c r="H15" s="24">
        <f t="shared" si="3"/>
        <v>200.62424999999999</v>
      </c>
      <c r="I15" s="24">
        <f t="shared" si="4"/>
        <v>0</v>
      </c>
      <c r="J15" s="25">
        <f t="shared" si="10"/>
        <v>2339</v>
      </c>
      <c r="K15" s="25">
        <f t="shared" si="5"/>
        <v>2339</v>
      </c>
      <c r="L15" s="25">
        <f t="shared" si="6"/>
        <v>153</v>
      </c>
      <c r="M15" s="25">
        <f>ROUND(MAX(IF(R15&lt;120000,J15*17%,IF(R15-J15&lt;120000,MAX(120000-R15+J15,0)*17%+MAX(R15-120000,0)*32%,J15*32%))- IF($B$6="Tak",425,0),0),)</f>
        <v>0</v>
      </c>
      <c r="N15" s="25">
        <f t="shared" si="7"/>
        <v>0</v>
      </c>
      <c r="O15" s="25">
        <f t="shared" si="11"/>
        <v>0</v>
      </c>
      <c r="P15" s="25">
        <f t="shared" si="12"/>
        <v>0</v>
      </c>
      <c r="Q15" s="52">
        <f t="shared" si="13"/>
        <v>0</v>
      </c>
      <c r="R15" s="25">
        <f t="shared" si="14"/>
        <v>14034</v>
      </c>
      <c r="S15" s="25">
        <f t="shared" si="15"/>
        <v>14034</v>
      </c>
      <c r="T15" s="24">
        <f t="shared" si="8"/>
        <v>43.76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 ht="15.75" x14ac:dyDescent="0.25">
      <c r="A16" s="9" t="s">
        <v>14</v>
      </c>
      <c r="B16" s="18">
        <v>0</v>
      </c>
      <c r="D16" s="24">
        <f t="shared" si="0"/>
        <v>3000</v>
      </c>
      <c r="E16" s="24">
        <f t="shared" si="9"/>
        <v>21000</v>
      </c>
      <c r="F16" s="24">
        <f t="shared" si="1"/>
        <v>3000</v>
      </c>
      <c r="G16" s="24">
        <f t="shared" si="2"/>
        <v>411.3</v>
      </c>
      <c r="H16" s="24">
        <f t="shared" si="3"/>
        <v>200.62424999999999</v>
      </c>
      <c r="I16" s="24">
        <f t="shared" si="4"/>
        <v>0</v>
      </c>
      <c r="J16" s="25">
        <f t="shared" si="10"/>
        <v>2339</v>
      </c>
      <c r="K16" s="25">
        <f t="shared" si="5"/>
        <v>2339</v>
      </c>
      <c r="L16" s="25">
        <f t="shared" si="6"/>
        <v>153</v>
      </c>
      <c r="M16" s="25">
        <f>ROUND(MAX(IF(R16&lt;120000,J16*17%,IF(R16-J16&lt;120000,MAX(120000-R16+J16,0)*17%+MAX(R16-120000,0)*32%,J16*32%))- IF($B$6="Tak",425,0),0),)</f>
        <v>0</v>
      </c>
      <c r="N16" s="25">
        <f t="shared" si="7"/>
        <v>0</v>
      </c>
      <c r="O16" s="25">
        <f t="shared" si="11"/>
        <v>0</v>
      </c>
      <c r="P16" s="25">
        <f t="shared" si="12"/>
        <v>0</v>
      </c>
      <c r="Q16" s="52">
        <f t="shared" si="13"/>
        <v>0</v>
      </c>
      <c r="R16" s="25">
        <f t="shared" si="14"/>
        <v>16373</v>
      </c>
      <c r="S16" s="25">
        <f t="shared" si="15"/>
        <v>16373</v>
      </c>
      <c r="T16" s="24">
        <f t="shared" si="8"/>
        <v>43.76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ht="15.75" x14ac:dyDescent="0.25">
      <c r="A17" s="9" t="s">
        <v>15</v>
      </c>
      <c r="B17" s="18">
        <v>0</v>
      </c>
      <c r="D17" s="24">
        <f t="shared" si="0"/>
        <v>3000</v>
      </c>
      <c r="E17" s="24">
        <f t="shared" si="9"/>
        <v>24000</v>
      </c>
      <c r="F17" s="24">
        <f t="shared" si="1"/>
        <v>3000</v>
      </c>
      <c r="G17" s="24">
        <f t="shared" si="2"/>
        <v>411.3</v>
      </c>
      <c r="H17" s="24">
        <f t="shared" si="3"/>
        <v>200.62424999999999</v>
      </c>
      <c r="I17" s="24">
        <f t="shared" si="4"/>
        <v>0</v>
      </c>
      <c r="J17" s="25">
        <f t="shared" si="10"/>
        <v>2339</v>
      </c>
      <c r="K17" s="25">
        <f t="shared" si="5"/>
        <v>2339</v>
      </c>
      <c r="L17" s="25">
        <f t="shared" si="6"/>
        <v>153</v>
      </c>
      <c r="M17" s="25">
        <f>ROUND(MAX(IF(R17&lt;120000,J17*17%,IF(R17-J17&lt;120000,MAX(120000-R17+J17,0)*17%+MAX(R17-120000,0)*32%,J17*32%))- IF($B$6="Tak",425,0),0),)</f>
        <v>0</v>
      </c>
      <c r="N17" s="25">
        <f t="shared" si="7"/>
        <v>0</v>
      </c>
      <c r="O17" s="25">
        <f t="shared" si="11"/>
        <v>0</v>
      </c>
      <c r="P17" s="25">
        <f t="shared" si="12"/>
        <v>0</v>
      </c>
      <c r="Q17" s="52">
        <f t="shared" si="13"/>
        <v>0</v>
      </c>
      <c r="R17" s="25">
        <f t="shared" si="14"/>
        <v>18712</v>
      </c>
      <c r="S17" s="25">
        <f t="shared" si="15"/>
        <v>18712</v>
      </c>
      <c r="T17" s="24">
        <f t="shared" si="8"/>
        <v>43.76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15.75" x14ac:dyDescent="0.25">
      <c r="A18" s="9" t="s">
        <v>16</v>
      </c>
      <c r="B18" s="18">
        <v>0</v>
      </c>
      <c r="D18" s="24">
        <f t="shared" si="0"/>
        <v>3000</v>
      </c>
      <c r="E18" s="24">
        <f t="shared" si="9"/>
        <v>27000</v>
      </c>
      <c r="F18" s="24">
        <f t="shared" si="1"/>
        <v>3000</v>
      </c>
      <c r="G18" s="24">
        <f t="shared" si="2"/>
        <v>411.3</v>
      </c>
      <c r="H18" s="24">
        <f t="shared" si="3"/>
        <v>200.62424999999999</v>
      </c>
      <c r="I18" s="24">
        <f t="shared" si="4"/>
        <v>0</v>
      </c>
      <c r="J18" s="25">
        <f t="shared" si="10"/>
        <v>2339</v>
      </c>
      <c r="K18" s="25">
        <f t="shared" si="5"/>
        <v>2339</v>
      </c>
      <c r="L18" s="25">
        <f t="shared" si="6"/>
        <v>153</v>
      </c>
      <c r="M18" s="25">
        <f>ROUND(MAX(IF(R18&lt;120000,J18*17%,IF(R18-J18&lt;120000,MAX(120000-R18+J18,0)*17%+MAX(R18-120000,0)*32%,J18*32%))- IF($B$6="Tak",425,0),0),)</f>
        <v>0</v>
      </c>
      <c r="N18" s="25">
        <f t="shared" si="7"/>
        <v>0</v>
      </c>
      <c r="O18" s="25">
        <f t="shared" si="11"/>
        <v>0</v>
      </c>
      <c r="P18" s="25">
        <f t="shared" si="12"/>
        <v>0</v>
      </c>
      <c r="Q18" s="52">
        <f t="shared" si="13"/>
        <v>0</v>
      </c>
      <c r="R18" s="25">
        <f t="shared" si="14"/>
        <v>21051</v>
      </c>
      <c r="S18" s="25">
        <f t="shared" si="15"/>
        <v>21051</v>
      </c>
      <c r="T18" s="24">
        <f t="shared" si="8"/>
        <v>43.76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15.75" x14ac:dyDescent="0.25">
      <c r="A19" s="9" t="s">
        <v>17</v>
      </c>
      <c r="B19" s="18">
        <v>0</v>
      </c>
      <c r="D19" s="24">
        <f t="shared" si="0"/>
        <v>3000</v>
      </c>
      <c r="E19" s="24">
        <f t="shared" si="9"/>
        <v>30000</v>
      </c>
      <c r="F19" s="24">
        <f t="shared" si="1"/>
        <v>3000</v>
      </c>
      <c r="G19" s="24">
        <f t="shared" si="2"/>
        <v>411.3</v>
      </c>
      <c r="H19" s="24">
        <f t="shared" si="3"/>
        <v>200.62424999999999</v>
      </c>
      <c r="I19" s="24">
        <f t="shared" si="4"/>
        <v>0</v>
      </c>
      <c r="J19" s="25">
        <f t="shared" si="10"/>
        <v>2339</v>
      </c>
      <c r="K19" s="25">
        <f t="shared" si="5"/>
        <v>2339</v>
      </c>
      <c r="L19" s="25">
        <f t="shared" si="6"/>
        <v>153</v>
      </c>
      <c r="M19" s="25">
        <f>ROUND(MAX(IF(R19&lt;120000,J19*17%,IF(R19-J19&lt;120000,MAX(120000-R19+J19,0)*17%+MAX(R19-120000,0)*32%,J19*32%))- IF($B$6="Tak",425,0),0),)</f>
        <v>0</v>
      </c>
      <c r="N19" s="25">
        <f t="shared" si="7"/>
        <v>0</v>
      </c>
      <c r="O19" s="25">
        <f t="shared" si="11"/>
        <v>0</v>
      </c>
      <c r="P19" s="25">
        <f t="shared" si="12"/>
        <v>0</v>
      </c>
      <c r="Q19" s="52">
        <f t="shared" si="13"/>
        <v>0</v>
      </c>
      <c r="R19" s="25">
        <f t="shared" si="14"/>
        <v>23390</v>
      </c>
      <c r="S19" s="25">
        <f t="shared" si="15"/>
        <v>23390</v>
      </c>
      <c r="T19" s="24">
        <f t="shared" si="8"/>
        <v>43.76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 ht="15.75" x14ac:dyDescent="0.25">
      <c r="A20" s="9" t="s">
        <v>18</v>
      </c>
      <c r="B20" s="18">
        <v>0</v>
      </c>
      <c r="D20" s="24">
        <f t="shared" si="0"/>
        <v>3000</v>
      </c>
      <c r="E20" s="24">
        <f t="shared" si="9"/>
        <v>33000</v>
      </c>
      <c r="F20" s="24">
        <f t="shared" si="1"/>
        <v>3000</v>
      </c>
      <c r="G20" s="24">
        <f t="shared" si="2"/>
        <v>411.3</v>
      </c>
      <c r="H20" s="24">
        <f t="shared" si="3"/>
        <v>200.62424999999999</v>
      </c>
      <c r="I20" s="24">
        <f t="shared" si="4"/>
        <v>0</v>
      </c>
      <c r="J20" s="25">
        <f t="shared" si="10"/>
        <v>2339</v>
      </c>
      <c r="K20" s="25">
        <f t="shared" si="5"/>
        <v>2339</v>
      </c>
      <c r="L20" s="25">
        <f t="shared" si="6"/>
        <v>153</v>
      </c>
      <c r="M20" s="25">
        <f>ROUND(MAX(IF(R20&lt;120000,J20*17%,IF(R20-J20&lt;120000,MAX(120000-R20+J20,0)*17%+MAX(R20-120000,0)*32%,J20*32%))- IF($B$6="Tak",425,0),0),)</f>
        <v>0</v>
      </c>
      <c r="N20" s="25">
        <f t="shared" si="7"/>
        <v>0</v>
      </c>
      <c r="O20" s="25">
        <f t="shared" si="11"/>
        <v>0</v>
      </c>
      <c r="P20" s="25">
        <f t="shared" si="12"/>
        <v>0</v>
      </c>
      <c r="Q20" s="52">
        <f t="shared" si="13"/>
        <v>0</v>
      </c>
      <c r="R20" s="25">
        <f t="shared" si="14"/>
        <v>25729</v>
      </c>
      <c r="S20" s="25">
        <f t="shared" si="15"/>
        <v>25729</v>
      </c>
      <c r="T20" s="24">
        <f t="shared" si="8"/>
        <v>43.76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ht="15.75" x14ac:dyDescent="0.25">
      <c r="A21" s="9" t="s">
        <v>19</v>
      </c>
      <c r="B21" s="18">
        <v>0</v>
      </c>
      <c r="D21" s="24">
        <f t="shared" si="0"/>
        <v>3000</v>
      </c>
      <c r="E21" s="24">
        <f t="shared" si="9"/>
        <v>36000</v>
      </c>
      <c r="F21" s="24">
        <f t="shared" si="1"/>
        <v>3000</v>
      </c>
      <c r="G21" s="24">
        <f t="shared" si="2"/>
        <v>411.3</v>
      </c>
      <c r="H21" s="24">
        <f t="shared" si="3"/>
        <v>200.62424999999999</v>
      </c>
      <c r="I21" s="24">
        <f t="shared" si="4"/>
        <v>0</v>
      </c>
      <c r="J21" s="25">
        <f t="shared" si="10"/>
        <v>2339</v>
      </c>
      <c r="K21" s="25">
        <f t="shared" si="5"/>
        <v>2339</v>
      </c>
      <c r="L21" s="25">
        <f t="shared" si="6"/>
        <v>153</v>
      </c>
      <c r="M21" s="25">
        <f>ROUND(MAX(IF(R21&lt;120000,J21*17%,IF(R21-J21&lt;120000,MAX(120000-R21+J21,0)*17%+MAX(R21-120000,0)*32%,J21*32%))- IF($B$6="Tak",425,0),0),)</f>
        <v>0</v>
      </c>
      <c r="N21" s="25">
        <f t="shared" si="7"/>
        <v>0</v>
      </c>
      <c r="O21" s="25">
        <f t="shared" si="11"/>
        <v>0</v>
      </c>
      <c r="P21" s="25">
        <f t="shared" si="12"/>
        <v>0</v>
      </c>
      <c r="Q21" s="52">
        <f t="shared" si="13"/>
        <v>0</v>
      </c>
      <c r="R21" s="25">
        <f t="shared" si="14"/>
        <v>28068</v>
      </c>
      <c r="S21" s="25">
        <f t="shared" si="15"/>
        <v>28068</v>
      </c>
      <c r="T21" s="24">
        <f t="shared" si="8"/>
        <v>43.76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0" ht="16.5" thickBot="1" x14ac:dyDescent="0.3">
      <c r="A22" s="10" t="s">
        <v>20</v>
      </c>
      <c r="B22" s="19">
        <f>SUM(B10:B21)</f>
        <v>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6">
        <f>SUM(Q10:Q21)</f>
        <v>0</v>
      </c>
      <c r="R22" s="15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 ht="15.75" x14ac:dyDescent="0.25">
      <c r="A23" s="11" t="s">
        <v>26</v>
      </c>
      <c r="B23" s="20">
        <f>$Q$22</f>
        <v>0</v>
      </c>
      <c r="D23" s="29" t="s">
        <v>28</v>
      </c>
      <c r="E23" s="30">
        <f>E21</f>
        <v>36000</v>
      </c>
      <c r="F23" s="51" t="s">
        <v>34</v>
      </c>
      <c r="G23" s="51"/>
      <c r="H23" s="35" t="s">
        <v>57</v>
      </c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ht="15.75" x14ac:dyDescent="0.25">
      <c r="A24" s="12" t="s">
        <v>21</v>
      </c>
      <c r="B24" s="21">
        <f>E28</f>
        <v>0</v>
      </c>
      <c r="D24" s="31" t="s">
        <v>29</v>
      </c>
      <c r="E24" s="28">
        <f>SUM(G10:G21)</f>
        <v>4935.6000000000013</v>
      </c>
      <c r="F24" s="47" t="s">
        <v>35</v>
      </c>
      <c r="G24" s="47"/>
      <c r="H24" s="37"/>
      <c r="I24" s="3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ht="15.75" x14ac:dyDescent="0.25">
      <c r="A25" s="12" t="s">
        <v>22</v>
      </c>
      <c r="B25" s="22">
        <f>MAX(B23-B24,0)</f>
        <v>0</v>
      </c>
      <c r="D25" s="31" t="s">
        <v>30</v>
      </c>
      <c r="E25" s="28">
        <f>$B$4</f>
        <v>3000</v>
      </c>
      <c r="F25" s="47" t="s">
        <v>36</v>
      </c>
      <c r="G25" s="47"/>
      <c r="H25" s="37"/>
      <c r="I25" s="38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ht="16.5" thickBot="1" x14ac:dyDescent="0.3">
      <c r="A26" s="13" t="s">
        <v>23</v>
      </c>
      <c r="B26" s="23">
        <f>MAX(B24-B23,0)</f>
        <v>0</v>
      </c>
      <c r="D26" s="31" t="s">
        <v>31</v>
      </c>
      <c r="E26" s="28">
        <f>ROUND(IF(AND(E23&gt;=68412, E23&lt;=102588),(E23*6.68/100-4566)/0.17,IF(AND(E23&gt;=102588,E23&lt;=133692),(-E23*7.35/100+9829)/0.17,0)),2)</f>
        <v>0</v>
      </c>
      <c r="F26" s="47" t="s">
        <v>37</v>
      </c>
      <c r="G26" s="47"/>
      <c r="H26" s="37"/>
      <c r="I26" s="38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x14ac:dyDescent="0.25">
      <c r="D27" s="31" t="s">
        <v>32</v>
      </c>
      <c r="E27" s="28">
        <f>ROUND(MAX(E23-E24-E25-E26,0),0)</f>
        <v>28064</v>
      </c>
      <c r="F27" s="47" t="s">
        <v>38</v>
      </c>
      <c r="G27" s="47"/>
      <c r="H27" s="37"/>
      <c r="I27" s="38"/>
    </row>
    <row r="28" spans="1:30" ht="15.75" thickBot="1" x14ac:dyDescent="0.3">
      <c r="D28" s="32" t="s">
        <v>33</v>
      </c>
      <c r="E28" s="33">
        <f>ROUND(MAX(IF(E27&lt;120000,E27*17% - 5100,15300+(E27-120000)*32%),0),0)</f>
        <v>0</v>
      </c>
      <c r="F28" s="48" t="s">
        <v>39</v>
      </c>
      <c r="G28" s="48"/>
      <c r="H28" s="39"/>
      <c r="I28" s="40"/>
    </row>
  </sheetData>
  <mergeCells count="9">
    <mergeCell ref="H23:I28"/>
    <mergeCell ref="D3:E8"/>
    <mergeCell ref="F27:G27"/>
    <mergeCell ref="F28:G28"/>
    <mergeCell ref="A1:B1"/>
    <mergeCell ref="F23:G23"/>
    <mergeCell ref="F24:G24"/>
    <mergeCell ref="F25:G25"/>
    <mergeCell ref="F26:G26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Arkusz2!$D$1:$D$5</xm:f>
          </x14:formula1>
          <xm:sqref>B4</xm:sqref>
        </x14:dataValidation>
        <x14:dataValidation type="list" allowBlank="1" showInputMessage="1" showErrorMessage="1">
          <x14:formula1>
            <xm:f>Arkusz2!$A$1:$A$2</xm:f>
          </x14:formula1>
          <xm:sqref>B5:B8</xm:sqref>
        </x14:dataValidation>
        <x14:dataValidation type="list" allowBlank="1" showInputMessage="1" showErrorMessage="1">
          <x14:formula1>
            <xm:f>Arkusz2!$B$1:$B$5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3" sqref="D3"/>
    </sheetView>
  </sheetViews>
  <sheetFormatPr defaultRowHeight="15" x14ac:dyDescent="0.25"/>
  <sheetData>
    <row r="1" spans="1:4" x14ac:dyDescent="0.25">
      <c r="A1" t="s">
        <v>3</v>
      </c>
      <c r="B1">
        <v>0</v>
      </c>
      <c r="D1">
        <v>0</v>
      </c>
    </row>
    <row r="2" spans="1:4" x14ac:dyDescent="0.25">
      <c r="A2" t="s">
        <v>5</v>
      </c>
      <c r="B2">
        <v>250</v>
      </c>
      <c r="D2">
        <v>3000</v>
      </c>
    </row>
    <row r="3" spans="1:4" x14ac:dyDescent="0.25">
      <c r="B3">
        <v>300</v>
      </c>
      <c r="D3">
        <v>3600</v>
      </c>
    </row>
    <row r="4" spans="1:4" x14ac:dyDescent="0.25">
      <c r="B4">
        <v>500</v>
      </c>
      <c r="D4">
        <v>4500</v>
      </c>
    </row>
    <row r="5" spans="1:4" x14ac:dyDescent="0.25">
      <c r="B5">
        <v>600</v>
      </c>
      <c r="D5">
        <v>5400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lta@logotech.com.pl</dc:creator>
  <cp:lastModifiedBy>lta@logotech.com.pl</cp:lastModifiedBy>
  <dcterms:created xsi:type="dcterms:W3CDTF">2022-01-10T09:40:53Z</dcterms:created>
  <dcterms:modified xsi:type="dcterms:W3CDTF">2022-01-14T12:22:20Z</dcterms:modified>
</cp:coreProperties>
</file>